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6" activeTab="0"/>
  </bookViews>
  <sheets>
    <sheet name="Велюкс" sheetId="1" r:id="rId1"/>
  </sheets>
  <definedNames>
    <definedName name="Excel_BuiltIn_Print_Area_1_1">#REF!</definedName>
    <definedName name="_xlnm.Print_Area" localSheetId="0">'Велюкс'!$A$1:$AA$59</definedName>
  </definedNames>
  <calcPr fullCalcOnLoad="1"/>
</workbook>
</file>

<file path=xl/sharedStrings.xml><?xml version="1.0" encoding="utf-8"?>
<sst xmlns="http://schemas.openxmlformats.org/spreadsheetml/2006/main" count="294" uniqueCount="122">
  <si>
    <t xml:space="preserve">Окна мансардные VELUX (Дания) </t>
  </si>
  <si>
    <t>МАНСАРДНЫЕ ОКНА СЕРИИ OPTIMA                                                                                                                                                                     Предоставляется скидка при заказе от 10 000 руб.</t>
  </si>
  <si>
    <t>Код окна</t>
  </si>
  <si>
    <t>CR02</t>
  </si>
  <si>
    <t>CR04</t>
  </si>
  <si>
    <t>FR04</t>
  </si>
  <si>
    <t>FR06</t>
  </si>
  <si>
    <t>MR04</t>
  </si>
  <si>
    <t>MR06</t>
  </si>
  <si>
    <t>MR08</t>
  </si>
  <si>
    <t>MR10</t>
  </si>
  <si>
    <t>PR06</t>
  </si>
  <si>
    <t>PR08</t>
  </si>
  <si>
    <t>SR06</t>
  </si>
  <si>
    <t>SR08</t>
  </si>
  <si>
    <t>Размер окна, см</t>
  </si>
  <si>
    <t>55*78</t>
  </si>
  <si>
    <t>55*98</t>
  </si>
  <si>
    <t>66*98</t>
  </si>
  <si>
    <t>66*118</t>
  </si>
  <si>
    <t>78*98</t>
  </si>
  <si>
    <t>78*118</t>
  </si>
  <si>
    <t>78*140</t>
  </si>
  <si>
    <t>78*160</t>
  </si>
  <si>
    <t>94*118</t>
  </si>
  <si>
    <t>94*140</t>
  </si>
  <si>
    <t>114*118</t>
  </si>
  <si>
    <t>114*140</t>
  </si>
  <si>
    <t>GZR 3050</t>
  </si>
  <si>
    <t>Открывание по центру, ручка сверху, дерево</t>
  </si>
  <si>
    <t>-</t>
  </si>
  <si>
    <t>GZR 3050B</t>
  </si>
  <si>
    <t>Открывание по центру, ручка снизу, дерево</t>
  </si>
  <si>
    <t>GLP 0073BIS</t>
  </si>
  <si>
    <t>Открывание по центру, ручка снизу, ПВХ</t>
  </si>
  <si>
    <t>ОКЛАДЫ ДЛЯ ОДИНОЧНОЙ УСТАНОВКИ СЕРИИ OPTIMA</t>
  </si>
  <si>
    <t>Код оклада</t>
  </si>
  <si>
    <t>EWR 0000</t>
  </si>
  <si>
    <t>Для установки на черепицу и другие материалы с высотой профиля до 120 мм</t>
  </si>
  <si>
    <t>ESR 0000</t>
  </si>
  <si>
    <t>Для установки на плоские кровли с высотой профиля до 16 мм</t>
  </si>
  <si>
    <t>КОМПЛЕКТЫ ОКЛАДОВ ДЛЯ КОМБИНИРОВАННОЙ УСТАНОВКИ СЕРИИ OPTIMA</t>
  </si>
  <si>
    <t>EWK 0021</t>
  </si>
  <si>
    <r>
      <t>Комплект из двух окладов для установки окон одинакового по высоте размера бок о бок по горизонтали</t>
    </r>
    <r>
      <rPr>
        <sz val="10"/>
        <rFont val="Wingdings"/>
        <family val="0"/>
      </rPr>
      <t xml:space="preserve">          </t>
    </r>
  </si>
  <si>
    <t>ESK 0021</t>
  </si>
  <si>
    <t>МАНСАРДНЫЕ ОКНА СЕРИИ PREMIUM</t>
  </si>
  <si>
    <t>CK02</t>
  </si>
  <si>
    <t>CK04</t>
  </si>
  <si>
    <t>FK04</t>
  </si>
  <si>
    <t>FK06</t>
  </si>
  <si>
    <t>MK04</t>
  </si>
  <si>
    <t>MK06</t>
  </si>
  <si>
    <t>MK08</t>
  </si>
  <si>
    <t>MK10</t>
  </si>
  <si>
    <t>PK06</t>
  </si>
  <si>
    <t>PK08</t>
  </si>
  <si>
    <t>SK06</t>
  </si>
  <si>
    <t>SK08</t>
  </si>
  <si>
    <t>Открывание по центру, ручка сверху, полиуретан</t>
  </si>
  <si>
    <t>GPL 3070</t>
  </si>
  <si>
    <t>Панорама, ручка снизу, дерево</t>
  </si>
  <si>
    <t>GPU 0070</t>
  </si>
  <si>
    <t>Панорама, ручка снизу, полиуретан</t>
  </si>
  <si>
    <t>ОКЛАДЫ ДЛЯ ОДИНОЧНОЙ УСТАНОВКИ СЕРИИ PREMIUM</t>
  </si>
  <si>
    <t>EDW 2000</t>
  </si>
  <si>
    <t>Для установки на черепицу и другие материалы с высотой профиля до 120 мм (в комплекте с BDX 2000)</t>
  </si>
  <si>
    <t>EDS 2000</t>
  </si>
  <si>
    <t>Для установки на плоские кровли с высотой профиля до 16 мм (в комплекте с BDX 2000)</t>
  </si>
  <si>
    <t>КОМПЛЕКТЫ ОКЛАДОВ ДЛЯ КОМБИНИРОВАННОЙ УСТАНОВКИ СЕРИИ PREMIUM</t>
  </si>
  <si>
    <t>EKW 0021</t>
  </si>
  <si>
    <t>EKS 0021</t>
  </si>
  <si>
    <t>КОМПЛЕКТЫ ДЛЯ УСТАНОВКИ</t>
  </si>
  <si>
    <t>BDX 2000</t>
  </si>
  <si>
    <t>Комплект гидро-, теплоизоляционный</t>
  </si>
  <si>
    <t xml:space="preserve">МАНСАРДНОЕ ОКНО-ВЫХОД НА КРЫШУ для отапливаемых помещений </t>
  </si>
  <si>
    <t>Окно-выход на крышу</t>
  </si>
  <si>
    <t>ПРИНАДЛЕЖНОСТИ</t>
  </si>
  <si>
    <t>RFL 1028, 1086, 4000</t>
  </si>
  <si>
    <t>Штора рулонная на направляющих</t>
  </si>
  <si>
    <t>RHL 1028, 1086, 4000, 9050</t>
  </si>
  <si>
    <t>Штора рулонная на крючках</t>
  </si>
  <si>
    <t>DKL 1100, 1025, 1085</t>
  </si>
  <si>
    <t>Штора затемняющая "Сиеста"</t>
  </si>
  <si>
    <t>DFD 1085</t>
  </si>
  <si>
    <t>Штора затемняющая "Дуо"</t>
  </si>
  <si>
    <t>PAL 7001</t>
  </si>
  <si>
    <t>Жалюзи белые</t>
  </si>
  <si>
    <t>MIV 4260</t>
  </si>
  <si>
    <t>Маркизет теплоотражающая сетка (только для серии OPTIMA)</t>
  </si>
  <si>
    <t>MHL 5060</t>
  </si>
  <si>
    <t>Маркизет теплоотражающая сетка (только для серии PREMIUM)</t>
  </si>
  <si>
    <t>SML 0000</t>
  </si>
  <si>
    <t>Рольставни с электроприводом</t>
  </si>
  <si>
    <t>ZIL 8888</t>
  </si>
  <si>
    <t>Москитная сетка</t>
  </si>
  <si>
    <t>ZCT 200</t>
  </si>
  <si>
    <t>Стержень для открывания окон с
регулируемой длиной (от 1,02 до 1,83 м)</t>
  </si>
  <si>
    <t>ZCT 100</t>
  </si>
  <si>
    <t>Дополнительный элемент для стержня ZCT (200)</t>
  </si>
  <si>
    <t>Стержень для открывания окон
с фиксированной длиной (0,8 м)</t>
  </si>
  <si>
    <t>GGL 3068</t>
  </si>
  <si>
    <t>GGU 0068</t>
  </si>
  <si>
    <t>GXL 3070</t>
  </si>
  <si>
    <t>GTL 3070</t>
  </si>
  <si>
    <t>GTU 0070</t>
  </si>
  <si>
    <t>Окно-выход на крышу (термодревесина в полиуретане)</t>
  </si>
  <si>
    <t>Окно-выход на крышу (клееная древесина)</t>
  </si>
  <si>
    <t>ZCZ 080K</t>
  </si>
  <si>
    <t>ZOZ 085</t>
  </si>
  <si>
    <t>Адаптер для штор с ручным управлением DKL, DFD, RFL, PAL и ZIL.</t>
  </si>
  <si>
    <t>GVT 0059</t>
  </si>
  <si>
    <t>Окно-выход для холодных нежилых чердаков</t>
  </si>
  <si>
    <t>VLT 1000</t>
  </si>
  <si>
    <t>45*55</t>
  </si>
  <si>
    <t>025</t>
  </si>
  <si>
    <t>029</t>
  </si>
  <si>
    <t>033</t>
  </si>
  <si>
    <t>45*73</t>
  </si>
  <si>
    <t>85*85</t>
  </si>
  <si>
    <t>103</t>
  </si>
  <si>
    <t>54*83</t>
  </si>
  <si>
    <t>GLL 1061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</si>
</sst>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[$-FC19]d\ mmmm\ yyyy\ &quot;г.&quot;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62"/>
      <name val="Arial Cyr"/>
      <family val="2"/>
    </font>
    <font>
      <sz val="11"/>
      <color indexed="9"/>
      <name val="Arial Cyr"/>
      <family val="2"/>
    </font>
    <font>
      <sz val="10"/>
      <color indexed="62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10"/>
      <name val="Wingding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52" applyFont="1" applyFill="1" applyBorder="1" applyAlignment="1">
      <alignment horizontal="left" vertical="center" wrapText="1" indent="1"/>
      <protection/>
    </xf>
    <xf numFmtId="0" fontId="2" fillId="0" borderId="10" xfId="52" applyFont="1" applyFill="1" applyBorder="1" applyAlignment="1">
      <alignment horizontal="left" vertical="center" indent="1"/>
      <protection/>
    </xf>
    <xf numFmtId="0" fontId="44" fillId="0" borderId="10" xfId="52" applyFont="1" applyFill="1" applyBorder="1" applyAlignment="1">
      <alignment horizontal="left" vertical="center" indent="1"/>
      <protection/>
    </xf>
    <xf numFmtId="0" fontId="1" fillId="0" borderId="10" xfId="55" applyFont="1" applyFill="1" applyBorder="1" applyAlignment="1">
      <alignment horizontal="left" vertical="center" indent="1"/>
      <protection/>
    </xf>
    <xf numFmtId="1" fontId="7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left" vertical="center" wrapText="1" indent="1"/>
      <protection/>
    </xf>
    <xf numFmtId="0" fontId="3" fillId="0" borderId="0" xfId="52" applyFont="1" applyFill="1" applyBorder="1" applyAlignment="1">
      <alignment horizontal="left" vertical="center" indent="2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2" fillId="34" borderId="10" xfId="52" applyFont="1" applyFill="1" applyBorder="1" applyAlignment="1">
      <alignment horizontal="left" vertical="center" wrapText="1" indent="1"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left" vertical="center" wrapText="1" inden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" fontId="6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left" vertical="center" indent="2"/>
      <protection/>
    </xf>
    <xf numFmtId="0" fontId="1" fillId="0" borderId="10" xfId="55" applyFont="1" applyFill="1" applyBorder="1" applyAlignment="1">
      <alignment horizontal="left" vertical="center" wrapText="1" indent="1"/>
      <protection/>
    </xf>
    <xf numFmtId="1" fontId="7" fillId="0" borderId="10" xfId="52" applyNumberFormat="1" applyFont="1" applyFill="1" applyBorder="1" applyAlignment="1">
      <alignment horizontal="center" vertical="center"/>
      <protection/>
    </xf>
    <xf numFmtId="0" fontId="44" fillId="0" borderId="10" xfId="52" applyFont="1" applyFill="1" applyBorder="1" applyAlignment="1">
      <alignment horizontal="left" vertical="center" wrapText="1" indent="1"/>
      <protection/>
    </xf>
    <xf numFmtId="1" fontId="45" fillId="0" borderId="10" xfId="52" applyNumberFormat="1" applyFont="1" applyFill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2" fillId="34" borderId="12" xfId="52" applyFont="1" applyFill="1" applyBorder="1" applyAlignment="1">
      <alignment horizontal="center" vertical="center" wrapText="1"/>
      <protection/>
    </xf>
    <xf numFmtId="0" fontId="2" fillId="34" borderId="13" xfId="52" applyFont="1" applyFill="1" applyBorder="1" applyAlignment="1">
      <alignment horizontal="center" vertical="center" wrapText="1"/>
      <protection/>
    </xf>
    <xf numFmtId="1" fontId="7" fillId="0" borderId="11" xfId="52" applyNumberFormat="1" applyFont="1" applyFill="1" applyBorder="1" applyAlignment="1">
      <alignment horizontal="center" vertical="center"/>
      <protection/>
    </xf>
    <xf numFmtId="1" fontId="7" fillId="0" borderId="12" xfId="52" applyNumberFormat="1" applyFont="1" applyFill="1" applyBorder="1" applyAlignment="1">
      <alignment horizontal="center" vertical="center"/>
      <protection/>
    </xf>
    <xf numFmtId="1" fontId="7" fillId="0" borderId="13" xfId="52" applyNumberFormat="1" applyFont="1" applyFill="1" applyBorder="1" applyAlignment="1">
      <alignment horizontal="center" vertical="center"/>
      <protection/>
    </xf>
    <xf numFmtId="0" fontId="2" fillId="34" borderId="14" xfId="52" applyFont="1" applyFill="1" applyBorder="1" applyAlignment="1">
      <alignment horizontal="left" vertical="center" wrapText="1" indent="1"/>
      <protection/>
    </xf>
    <xf numFmtId="1" fontId="5" fillId="35" borderId="11" xfId="52" applyNumberFormat="1" applyFont="1" applyFill="1" applyBorder="1" applyAlignment="1">
      <alignment horizontal="center" vertical="center"/>
      <protection/>
    </xf>
    <xf numFmtId="1" fontId="5" fillId="35" borderId="12" xfId="52" applyNumberFormat="1" applyFont="1" applyFill="1" applyBorder="1" applyAlignment="1">
      <alignment horizontal="center" vertical="center"/>
      <protection/>
    </xf>
    <xf numFmtId="1" fontId="5" fillId="35" borderId="13" xfId="52" applyNumberFormat="1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left" vertical="center" wrapText="1" indent="1"/>
      <protection/>
    </xf>
    <xf numFmtId="1" fontId="7" fillId="0" borderId="14" xfId="52" applyNumberFormat="1" applyFont="1" applyFill="1" applyBorder="1" applyAlignment="1">
      <alignment horizontal="center" vertical="center"/>
      <protection/>
    </xf>
    <xf numFmtId="1" fontId="7" fillId="0" borderId="15" xfId="52" applyNumberFormat="1" applyFont="1" applyFill="1" applyBorder="1" applyAlignment="1">
      <alignment horizontal="center" vertical="center"/>
      <protection/>
    </xf>
    <xf numFmtId="1" fontId="7" fillId="0" borderId="16" xfId="52" applyNumberFormat="1" applyFont="1" applyFill="1" applyBorder="1" applyAlignment="1">
      <alignment horizontal="center" vertical="center"/>
      <protection/>
    </xf>
    <xf numFmtId="49" fontId="1" fillId="34" borderId="11" xfId="42" applyNumberFormat="1" applyFont="1" applyFill="1" applyBorder="1" applyAlignment="1">
      <alignment horizontal="center" vertical="center" wrapText="1"/>
    </xf>
    <xf numFmtId="49" fontId="1" fillId="34" borderId="12" xfId="42" applyNumberFormat="1" applyFill="1" applyBorder="1" applyAlignment="1">
      <alignment horizontal="center" vertical="center" wrapText="1"/>
    </xf>
    <xf numFmtId="49" fontId="1" fillId="34" borderId="13" xfId="42" applyNumberFormat="1" applyFill="1" applyBorder="1" applyAlignment="1">
      <alignment horizontal="center" vertical="center" wrapText="1"/>
    </xf>
    <xf numFmtId="0" fontId="5" fillId="0" borderId="14" xfId="52" applyFont="1" applyFill="1" applyBorder="1" applyAlignment="1">
      <alignment horizontal="left" vertical="center" wrapText="1" inden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Обычный_Прейскурант на комбинированные оклады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28575</xdr:rowOff>
    </xdr:from>
    <xdr:to>
      <xdr:col>23</xdr:col>
      <xdr:colOff>152400</xdr:colOff>
      <xdr:row>0</xdr:row>
      <xdr:rowOff>971550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8575"/>
          <a:ext cx="102489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view="pageBreakPreview" zoomScale="70" zoomScaleNormal="75" zoomScaleSheetLayoutView="70" zoomScalePageLayoutView="0" workbookViewId="0" topLeftCell="A1">
      <selection activeCell="V18" sqref="V18:W18"/>
    </sheetView>
  </sheetViews>
  <sheetFormatPr defaultColWidth="4.57421875" defaultRowHeight="22.5" customHeight="1"/>
  <cols>
    <col min="1" max="1" width="19.7109375" style="1" customWidth="1"/>
    <col min="2" max="2" width="17.00390625" style="1" customWidth="1"/>
    <col min="3" max="3" width="35.00390625" style="1" customWidth="1"/>
    <col min="4" max="16384" width="4.57421875" style="1" customWidth="1"/>
  </cols>
  <sheetData>
    <row r="1" spans="1:27" ht="78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22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22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2.5" customHeight="1">
      <c r="A4" s="10" t="s">
        <v>2</v>
      </c>
      <c r="B4" s="10"/>
      <c r="C4" s="10"/>
      <c r="D4" s="11" t="s">
        <v>3</v>
      </c>
      <c r="E4" s="11"/>
      <c r="F4" s="11" t="s">
        <v>4</v>
      </c>
      <c r="G4" s="11"/>
      <c r="H4" s="11" t="s">
        <v>5</v>
      </c>
      <c r="I4" s="11"/>
      <c r="J4" s="11" t="s">
        <v>6</v>
      </c>
      <c r="K4" s="11"/>
      <c r="L4" s="11" t="s">
        <v>7</v>
      </c>
      <c r="M4" s="11"/>
      <c r="N4" s="11" t="s">
        <v>8</v>
      </c>
      <c r="O4" s="11"/>
      <c r="P4" s="11" t="s">
        <v>9</v>
      </c>
      <c r="Q4" s="11"/>
      <c r="R4" s="11" t="s">
        <v>10</v>
      </c>
      <c r="S4" s="11"/>
      <c r="T4" s="11" t="s">
        <v>11</v>
      </c>
      <c r="U4" s="11"/>
      <c r="V4" s="11" t="s">
        <v>12</v>
      </c>
      <c r="W4" s="11"/>
      <c r="X4" s="11" t="s">
        <v>13</v>
      </c>
      <c r="Y4" s="11"/>
      <c r="Z4" s="11" t="s">
        <v>14</v>
      </c>
      <c r="AA4" s="11"/>
    </row>
    <row r="5" spans="1:27" ht="22.5" customHeight="1">
      <c r="A5" s="12" t="s">
        <v>15</v>
      </c>
      <c r="B5" s="12"/>
      <c r="C5" s="12"/>
      <c r="D5" s="13" t="s">
        <v>16</v>
      </c>
      <c r="E5" s="13"/>
      <c r="F5" s="13" t="s">
        <v>17</v>
      </c>
      <c r="G5" s="13"/>
      <c r="H5" s="13" t="s">
        <v>18</v>
      </c>
      <c r="I5" s="13"/>
      <c r="J5" s="13" t="s">
        <v>19</v>
      </c>
      <c r="K5" s="13"/>
      <c r="L5" s="13" t="s">
        <v>20</v>
      </c>
      <c r="M5" s="13"/>
      <c r="N5" s="13" t="s">
        <v>21</v>
      </c>
      <c r="O5" s="13"/>
      <c r="P5" s="13" t="s">
        <v>22</v>
      </c>
      <c r="Q5" s="13"/>
      <c r="R5" s="13" t="s">
        <v>23</v>
      </c>
      <c r="S5" s="13"/>
      <c r="T5" s="13" t="s">
        <v>24</v>
      </c>
      <c r="U5" s="13"/>
      <c r="V5" s="13" t="s">
        <v>25</v>
      </c>
      <c r="W5" s="13"/>
      <c r="X5" s="13" t="s">
        <v>26</v>
      </c>
      <c r="Y5" s="13"/>
      <c r="Z5" s="13" t="s">
        <v>27</v>
      </c>
      <c r="AA5" s="13"/>
    </row>
    <row r="6" spans="1:27" ht="22.5" customHeight="1">
      <c r="A6" s="3" t="s">
        <v>28</v>
      </c>
      <c r="B6" s="7" t="s">
        <v>29</v>
      </c>
      <c r="C6" s="7"/>
      <c r="D6" s="14">
        <f>ROUND(13750*0.9,-2)</f>
        <v>12400</v>
      </c>
      <c r="E6" s="14"/>
      <c r="F6" s="14">
        <f>ROUND(15750*0.9,-2)</f>
        <v>14200</v>
      </c>
      <c r="G6" s="14"/>
      <c r="H6" s="14">
        <f>ROUND(16700*0.9,-2)</f>
        <v>15000</v>
      </c>
      <c r="I6" s="14"/>
      <c r="J6" s="14">
        <f>ROUND(17450*0.9,-2)</f>
        <v>15700</v>
      </c>
      <c r="K6" s="14"/>
      <c r="L6" s="14">
        <f>ROUND(17450*0.9,-2)</f>
        <v>15700</v>
      </c>
      <c r="M6" s="14"/>
      <c r="N6" s="14">
        <f>ROUND(18550*0.9,-2)</f>
        <v>16700</v>
      </c>
      <c r="O6" s="14"/>
      <c r="P6" s="14">
        <f>ROUND(20200*0.9,-2)</f>
        <v>18200</v>
      </c>
      <c r="Q6" s="14"/>
      <c r="R6" s="6" t="s">
        <v>30</v>
      </c>
      <c r="S6" s="6"/>
      <c r="T6" s="14">
        <f>ROUND(21700*0.9,-2)</f>
        <v>19500</v>
      </c>
      <c r="U6" s="14"/>
      <c r="V6" s="6">
        <f>ROUND(23200*0.9,-2)</f>
        <v>20900</v>
      </c>
      <c r="W6" s="6"/>
      <c r="X6" s="6">
        <f>ROUND(22800*0.9,-2)</f>
        <v>20500</v>
      </c>
      <c r="Y6" s="6"/>
      <c r="Z6" s="6">
        <f>ROUND(25400*0.9,-2)</f>
        <v>22900</v>
      </c>
      <c r="AA6" s="6"/>
    </row>
    <row r="7" spans="1:27" ht="22.5" customHeight="1">
      <c r="A7" s="3" t="s">
        <v>31</v>
      </c>
      <c r="B7" s="7" t="s">
        <v>32</v>
      </c>
      <c r="C7" s="7"/>
      <c r="D7" s="14">
        <f>ROUND(13750*0.9,-2)</f>
        <v>12400</v>
      </c>
      <c r="E7" s="14"/>
      <c r="F7" s="14">
        <f>ROUND(15750*0.9,-2)</f>
        <v>14200</v>
      </c>
      <c r="G7" s="14"/>
      <c r="H7" s="14">
        <f>ROUND(16700*0.9,-2)</f>
        <v>15000</v>
      </c>
      <c r="I7" s="14"/>
      <c r="J7" s="14">
        <v>17451</v>
      </c>
      <c r="K7" s="14"/>
      <c r="L7" s="14">
        <f>ROUND(17450*0.9,-2)</f>
        <v>15700</v>
      </c>
      <c r="M7" s="14"/>
      <c r="N7" s="14">
        <f>ROUND(18550*0.9,-2)</f>
        <v>16700</v>
      </c>
      <c r="O7" s="14"/>
      <c r="P7" s="14">
        <f>ROUND(20200*0.9,-2)</f>
        <v>18200</v>
      </c>
      <c r="Q7" s="14"/>
      <c r="R7" s="6" t="s">
        <v>30</v>
      </c>
      <c r="S7" s="6"/>
      <c r="T7" s="14">
        <f>ROUND(21700*0.9,-2)</f>
        <v>19500</v>
      </c>
      <c r="U7" s="14"/>
      <c r="V7" s="6" t="s">
        <v>30</v>
      </c>
      <c r="W7" s="6"/>
      <c r="X7" s="6">
        <f>ROUND(22800*0.9,-2)</f>
        <v>20500</v>
      </c>
      <c r="Y7" s="6"/>
      <c r="Z7" s="6" t="s">
        <v>30</v>
      </c>
      <c r="AA7" s="6"/>
    </row>
    <row r="8" spans="1:27" ht="22.5" customHeight="1">
      <c r="A8" s="2" t="s">
        <v>33</v>
      </c>
      <c r="B8" s="7" t="s">
        <v>34</v>
      </c>
      <c r="C8" s="7"/>
      <c r="D8" s="6">
        <f>ROUND(26100*0.9,-2)</f>
        <v>23500</v>
      </c>
      <c r="E8" s="6"/>
      <c r="F8" s="6" t="s">
        <v>30</v>
      </c>
      <c r="G8" s="6"/>
      <c r="H8" s="6">
        <f>ROUND(31700*0.9,-2)</f>
        <v>28500</v>
      </c>
      <c r="I8" s="6"/>
      <c r="J8" s="6">
        <f>ROUND(33150*0.9,-2)</f>
        <v>29800</v>
      </c>
      <c r="K8" s="6"/>
      <c r="L8" s="6">
        <f>ROUND(33150*0.9,-2)</f>
        <v>29800</v>
      </c>
      <c r="M8" s="6"/>
      <c r="N8" s="6">
        <f>ROUND(35250*0.9,-2)</f>
        <v>31700</v>
      </c>
      <c r="O8" s="6"/>
      <c r="P8" s="6" t="s">
        <v>30</v>
      </c>
      <c r="Q8" s="6"/>
      <c r="R8" s="6">
        <f>ROUND(43700*0.9,-2)</f>
        <v>39300</v>
      </c>
      <c r="S8" s="6"/>
      <c r="T8" s="6">
        <f>ROUND(41280*0.9,-2)</f>
        <v>37200</v>
      </c>
      <c r="U8" s="6"/>
      <c r="V8" s="6" t="s">
        <v>30</v>
      </c>
      <c r="W8" s="6"/>
      <c r="X8" s="6">
        <f>ROUND(43350*0.9,-2)</f>
        <v>39000</v>
      </c>
      <c r="Y8" s="6"/>
      <c r="Z8" s="6" t="s">
        <v>30</v>
      </c>
      <c r="AA8" s="6"/>
    </row>
    <row r="9" spans="1:27" ht="22.5" customHeight="1">
      <c r="A9" s="8" t="s">
        <v>35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22.5" customHeight="1">
      <c r="A10" s="10" t="s">
        <v>36</v>
      </c>
      <c r="B10" s="10"/>
      <c r="C10" s="10"/>
      <c r="D10" s="11" t="s">
        <v>3</v>
      </c>
      <c r="E10" s="11"/>
      <c r="F10" s="11" t="s">
        <v>4</v>
      </c>
      <c r="G10" s="11"/>
      <c r="H10" s="11" t="s">
        <v>5</v>
      </c>
      <c r="I10" s="11"/>
      <c r="J10" s="11" t="s">
        <v>6</v>
      </c>
      <c r="K10" s="11"/>
      <c r="L10" s="11" t="s">
        <v>7</v>
      </c>
      <c r="M10" s="11"/>
      <c r="N10" s="11" t="s">
        <v>8</v>
      </c>
      <c r="O10" s="11"/>
      <c r="P10" s="11" t="s">
        <v>9</v>
      </c>
      <c r="Q10" s="11"/>
      <c r="R10" s="11" t="s">
        <v>10</v>
      </c>
      <c r="S10" s="11"/>
      <c r="T10" s="11" t="s">
        <v>11</v>
      </c>
      <c r="U10" s="11"/>
      <c r="V10" s="11" t="s">
        <v>12</v>
      </c>
      <c r="W10" s="11"/>
      <c r="X10" s="11" t="s">
        <v>13</v>
      </c>
      <c r="Y10" s="11"/>
      <c r="Z10" s="11" t="s">
        <v>14</v>
      </c>
      <c r="AA10" s="11"/>
    </row>
    <row r="11" spans="1:27" ht="27" customHeight="1">
      <c r="A11" s="3" t="s">
        <v>37</v>
      </c>
      <c r="B11" s="7" t="s">
        <v>38</v>
      </c>
      <c r="C11" s="7"/>
      <c r="D11" s="14">
        <f>ROUND(7750*0.9,-2)</f>
        <v>7000</v>
      </c>
      <c r="E11" s="14"/>
      <c r="F11" s="14">
        <f>ROUND(7950*0.9,-2)</f>
        <v>7200</v>
      </c>
      <c r="G11" s="14"/>
      <c r="H11" s="14">
        <f>ROUND(8250*0.9,-2)</f>
        <v>7400</v>
      </c>
      <c r="I11" s="14"/>
      <c r="J11" s="14">
        <f>ROUND(8900*0.9,-2)</f>
        <v>8000</v>
      </c>
      <c r="K11" s="14"/>
      <c r="L11" s="14">
        <f>ROUND(8900*0.9,-2)</f>
        <v>8000</v>
      </c>
      <c r="M11" s="14"/>
      <c r="N11" s="14">
        <f>ROUND(9350*0.9,-2)</f>
        <v>8400</v>
      </c>
      <c r="O11" s="14"/>
      <c r="P11" s="14">
        <f>ROUND(9900*0.9,-2)</f>
        <v>8900</v>
      </c>
      <c r="Q11" s="14"/>
      <c r="R11" s="6">
        <f>ROUND(10950*0.9,-2)</f>
        <v>9900</v>
      </c>
      <c r="S11" s="6"/>
      <c r="T11" s="14">
        <f>ROUND(10550*0.9,-2)</f>
        <v>9500</v>
      </c>
      <c r="U11" s="14"/>
      <c r="V11" s="6">
        <f>ROUND(11150*0.9,-2)</f>
        <v>10000</v>
      </c>
      <c r="W11" s="6"/>
      <c r="X11" s="6">
        <f>ROUND(11050*0.9,-2)</f>
        <v>9900</v>
      </c>
      <c r="Y11" s="6"/>
      <c r="Z11" s="6">
        <f>ROUND(11700*0.9,-2)</f>
        <v>10500</v>
      </c>
      <c r="AA11" s="6"/>
    </row>
    <row r="12" spans="1:27" ht="22.5" customHeight="1">
      <c r="A12" s="3" t="s">
        <v>39</v>
      </c>
      <c r="B12" s="7" t="s">
        <v>40</v>
      </c>
      <c r="C12" s="7"/>
      <c r="D12" s="14">
        <f>ROUND(5950*0.9,-2)</f>
        <v>5400</v>
      </c>
      <c r="E12" s="14"/>
      <c r="F12" s="14">
        <f>ROUND(6100*0.9,-2)</f>
        <v>5500</v>
      </c>
      <c r="G12" s="14"/>
      <c r="H12" s="14">
        <f>ROUND(6300*0.9,-2)</f>
        <v>5700</v>
      </c>
      <c r="I12" s="14"/>
      <c r="J12" s="14">
        <f>ROUND(6800*0.9,-2)</f>
        <v>6100</v>
      </c>
      <c r="K12" s="14"/>
      <c r="L12" s="14">
        <f>ROUND(6800*0.9,-2)</f>
        <v>6100</v>
      </c>
      <c r="M12" s="14"/>
      <c r="N12" s="14">
        <f>ROUND(7150*0.9,-2)</f>
        <v>6400</v>
      </c>
      <c r="O12" s="14"/>
      <c r="P12" s="14">
        <f>ROUND(7600*0.9,-2)</f>
        <v>6800</v>
      </c>
      <c r="Q12" s="14"/>
      <c r="R12" s="14">
        <f>ROUND(8350*0.9,-2)</f>
        <v>7500</v>
      </c>
      <c r="S12" s="14"/>
      <c r="T12" s="14">
        <f>ROUND(8100*0.9,-2)</f>
        <v>7300</v>
      </c>
      <c r="U12" s="14"/>
      <c r="V12" s="14">
        <f>ROUND(8500*0.9,-2)</f>
        <v>7700</v>
      </c>
      <c r="W12" s="14"/>
      <c r="X12" s="14">
        <f>ROUND(8450*0.9,-2)</f>
        <v>7600</v>
      </c>
      <c r="Y12" s="14"/>
      <c r="Z12" s="14">
        <f>ROUND(8950*0.9,-2)</f>
        <v>8100</v>
      </c>
      <c r="AA12" s="14"/>
    </row>
    <row r="13" spans="1:27" ht="22.5" customHeight="1">
      <c r="A13" s="15" t="s">
        <v>41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22.5" customHeight="1">
      <c r="A14" s="10" t="s">
        <v>36</v>
      </c>
      <c r="B14" s="10"/>
      <c r="C14" s="10"/>
      <c r="D14" s="11" t="s">
        <v>3</v>
      </c>
      <c r="E14" s="11"/>
      <c r="F14" s="11" t="s">
        <v>4</v>
      </c>
      <c r="G14" s="11"/>
      <c r="H14" s="11" t="s">
        <v>5</v>
      </c>
      <c r="I14" s="11"/>
      <c r="J14" s="11" t="s">
        <v>6</v>
      </c>
      <c r="K14" s="11"/>
      <c r="L14" s="11" t="s">
        <v>7</v>
      </c>
      <c r="M14" s="11"/>
      <c r="N14" s="11" t="s">
        <v>8</v>
      </c>
      <c r="O14" s="11"/>
      <c r="P14" s="11" t="s">
        <v>9</v>
      </c>
      <c r="Q14" s="11"/>
      <c r="R14" s="11" t="s">
        <v>10</v>
      </c>
      <c r="S14" s="11"/>
      <c r="T14" s="11" t="s">
        <v>11</v>
      </c>
      <c r="U14" s="11"/>
      <c r="V14" s="11" t="s">
        <v>12</v>
      </c>
      <c r="W14" s="11"/>
      <c r="X14" s="11" t="s">
        <v>13</v>
      </c>
      <c r="Y14" s="11"/>
      <c r="Z14" s="11" t="s">
        <v>14</v>
      </c>
      <c r="AA14" s="11"/>
    </row>
    <row r="15" spans="1:27" ht="22.5" customHeight="1">
      <c r="A15" s="5" t="s">
        <v>42</v>
      </c>
      <c r="B15" s="16" t="s">
        <v>43</v>
      </c>
      <c r="C15" s="16"/>
      <c r="D15" s="17">
        <f>ROUND(15500*0.9,-2)</f>
        <v>14000</v>
      </c>
      <c r="E15" s="17"/>
      <c r="F15" s="17" t="s">
        <v>30</v>
      </c>
      <c r="G15" s="17"/>
      <c r="H15" s="17" t="s">
        <v>30</v>
      </c>
      <c r="I15" s="17"/>
      <c r="J15" s="17">
        <f>ROUND(17750*0.9,-2)</f>
        <v>16000</v>
      </c>
      <c r="K15" s="17"/>
      <c r="L15" s="17">
        <f>ROUND(17750*0.9,-2)</f>
        <v>16000</v>
      </c>
      <c r="M15" s="17"/>
      <c r="N15" s="17">
        <f>ROUND(18700*0.9,-2)</f>
        <v>16800</v>
      </c>
      <c r="O15" s="17"/>
      <c r="P15" s="17">
        <f>ROUND(19800*0.9,-2)</f>
        <v>17800</v>
      </c>
      <c r="Q15" s="17"/>
      <c r="R15" s="17">
        <f>ROUND(21900*0.9,-2)</f>
        <v>19700</v>
      </c>
      <c r="S15" s="17"/>
      <c r="T15" s="17" t="s">
        <v>30</v>
      </c>
      <c r="U15" s="17"/>
      <c r="V15" s="17">
        <f>ROUND(22250*0.9,-2)</f>
        <v>20000</v>
      </c>
      <c r="W15" s="17"/>
      <c r="X15" s="17" t="s">
        <v>30</v>
      </c>
      <c r="Y15" s="17"/>
      <c r="Z15" s="17">
        <f>ROUND(23400*0.9,-2)</f>
        <v>21100</v>
      </c>
      <c r="AA15" s="17"/>
    </row>
    <row r="16" spans="1:27" ht="22.5" customHeight="1">
      <c r="A16" s="5" t="s">
        <v>44</v>
      </c>
      <c r="B16" s="16"/>
      <c r="C16" s="16"/>
      <c r="D16" s="17">
        <f>ROUND(11850*0.9,-2)</f>
        <v>10700</v>
      </c>
      <c r="E16" s="17"/>
      <c r="F16" s="17" t="s">
        <v>30</v>
      </c>
      <c r="G16" s="17"/>
      <c r="H16" s="17" t="s">
        <v>30</v>
      </c>
      <c r="I16" s="17"/>
      <c r="J16" s="17">
        <f>ROUND(13600*0.9,-2)</f>
        <v>12200</v>
      </c>
      <c r="K16" s="17"/>
      <c r="L16" s="17">
        <f>ROUND(13600*0.9,-2)</f>
        <v>12200</v>
      </c>
      <c r="M16" s="17"/>
      <c r="N16" s="17">
        <f>ROUND(14300*0.9,-2)</f>
        <v>12900</v>
      </c>
      <c r="O16" s="17"/>
      <c r="P16" s="17">
        <f>ROUND(15150*0.9,-2)</f>
        <v>13600</v>
      </c>
      <c r="Q16" s="17"/>
      <c r="R16" s="17">
        <f>ROUND(16750*0.9,-2)</f>
        <v>15100</v>
      </c>
      <c r="S16" s="17"/>
      <c r="T16" s="17" t="s">
        <v>30</v>
      </c>
      <c r="U16" s="17"/>
      <c r="V16" s="17">
        <f>ROUND(17000*0.9,-2)</f>
        <v>15300</v>
      </c>
      <c r="W16" s="17"/>
      <c r="X16" s="17" t="s">
        <v>30</v>
      </c>
      <c r="Y16" s="17"/>
      <c r="Z16" s="17">
        <f>ROUND(17900*0.9,-2)</f>
        <v>16100</v>
      </c>
      <c r="AA16" s="17"/>
    </row>
    <row r="17" spans="1:27" ht="22.5" customHeight="1">
      <c r="A17" s="8" t="s">
        <v>45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22.5" customHeight="1">
      <c r="A18" s="10" t="s">
        <v>2</v>
      </c>
      <c r="B18" s="10"/>
      <c r="C18" s="10"/>
      <c r="D18" s="11" t="s">
        <v>46</v>
      </c>
      <c r="E18" s="11"/>
      <c r="F18" s="11" t="s">
        <v>47</v>
      </c>
      <c r="G18" s="11"/>
      <c r="H18" s="11" t="s">
        <v>48</v>
      </c>
      <c r="I18" s="11"/>
      <c r="J18" s="11" t="s">
        <v>49</v>
      </c>
      <c r="K18" s="11"/>
      <c r="L18" s="11" t="s">
        <v>50</v>
      </c>
      <c r="M18" s="11"/>
      <c r="N18" s="11" t="s">
        <v>51</v>
      </c>
      <c r="O18" s="11"/>
      <c r="P18" s="11" t="s">
        <v>52</v>
      </c>
      <c r="Q18" s="11"/>
      <c r="R18" s="11" t="s">
        <v>53</v>
      </c>
      <c r="S18" s="11"/>
      <c r="T18" s="11" t="s">
        <v>54</v>
      </c>
      <c r="U18" s="11"/>
      <c r="V18" s="11" t="s">
        <v>55</v>
      </c>
      <c r="W18" s="11"/>
      <c r="X18" s="11" t="s">
        <v>56</v>
      </c>
      <c r="Y18" s="11"/>
      <c r="Z18" s="11" t="s">
        <v>57</v>
      </c>
      <c r="AA18" s="11"/>
    </row>
    <row r="19" spans="1:27" ht="22.5" customHeight="1">
      <c r="A19" s="12" t="s">
        <v>15</v>
      </c>
      <c r="B19" s="12"/>
      <c r="C19" s="12"/>
      <c r="D19" s="13" t="s">
        <v>16</v>
      </c>
      <c r="E19" s="13"/>
      <c r="F19" s="13" t="s">
        <v>17</v>
      </c>
      <c r="G19" s="13"/>
      <c r="H19" s="13" t="s">
        <v>18</v>
      </c>
      <c r="I19" s="13"/>
      <c r="J19" s="13" t="s">
        <v>19</v>
      </c>
      <c r="K19" s="13"/>
      <c r="L19" s="13" t="s">
        <v>20</v>
      </c>
      <c r="M19" s="13"/>
      <c r="N19" s="13" t="s">
        <v>21</v>
      </c>
      <c r="O19" s="13"/>
      <c r="P19" s="13" t="s">
        <v>22</v>
      </c>
      <c r="Q19" s="13"/>
      <c r="R19" s="13" t="s">
        <v>23</v>
      </c>
      <c r="S19" s="13"/>
      <c r="T19" s="13" t="s">
        <v>24</v>
      </c>
      <c r="U19" s="13"/>
      <c r="V19" s="13" t="s">
        <v>25</v>
      </c>
      <c r="W19" s="13"/>
      <c r="X19" s="13" t="s">
        <v>26</v>
      </c>
      <c r="Y19" s="13"/>
      <c r="Z19" s="13" t="s">
        <v>27</v>
      </c>
      <c r="AA19" s="13"/>
    </row>
    <row r="20" spans="1:27" ht="22.5" customHeight="1">
      <c r="A20" s="3" t="s">
        <v>100</v>
      </c>
      <c r="B20" s="7" t="s">
        <v>29</v>
      </c>
      <c r="C20" s="7"/>
      <c r="D20" s="17">
        <f>ROUND(31100*0.9,-2)</f>
        <v>28000</v>
      </c>
      <c r="E20" s="17"/>
      <c r="F20" s="17">
        <f>ROUND(35750*0.9,-2)</f>
        <v>32200</v>
      </c>
      <c r="G20" s="17"/>
      <c r="H20" s="17">
        <f>ROUND(37850*0.9,-2)</f>
        <v>34100</v>
      </c>
      <c r="I20" s="17"/>
      <c r="J20" s="17">
        <f>ROUND(39550*0.9,-2)</f>
        <v>35600</v>
      </c>
      <c r="K20" s="17"/>
      <c r="L20" s="17">
        <f>ROUND(39550*0.9,-2)</f>
        <v>35600</v>
      </c>
      <c r="M20" s="17"/>
      <c r="N20" s="17">
        <f>ROUND(42050*0.9,-2)</f>
        <v>37800</v>
      </c>
      <c r="O20" s="17"/>
      <c r="P20" s="17">
        <f>ROUND(45850*0.9,-2)</f>
        <v>41300</v>
      </c>
      <c r="Q20" s="17"/>
      <c r="R20" s="17">
        <f>ROUND(52150*0.9,-2)</f>
        <v>46900</v>
      </c>
      <c r="S20" s="17"/>
      <c r="T20" s="17">
        <f>ROUND(49200*0.9,-2)</f>
        <v>44300</v>
      </c>
      <c r="U20" s="17"/>
      <c r="V20" s="17">
        <f>ROUND(52600*0.9,-2)</f>
        <v>47300</v>
      </c>
      <c r="W20" s="17"/>
      <c r="X20" s="17">
        <f>ROUND(51750*0.9,-2)</f>
        <v>46600</v>
      </c>
      <c r="Y20" s="17"/>
      <c r="Z20" s="17">
        <f>ROUND(57600*0.9,-2)</f>
        <v>51800</v>
      </c>
      <c r="AA20" s="17"/>
    </row>
    <row r="21" spans="1:27" ht="22.5" customHeight="1">
      <c r="A21" s="3" t="s">
        <v>101</v>
      </c>
      <c r="B21" s="7" t="s">
        <v>58</v>
      </c>
      <c r="C21" s="7"/>
      <c r="D21" s="17">
        <f>ROUND(40500*0.9,-2)</f>
        <v>36500</v>
      </c>
      <c r="E21" s="17"/>
      <c r="F21" s="17">
        <f>ROUND(43150*0.9,-2)</f>
        <v>38800</v>
      </c>
      <c r="G21" s="17"/>
      <c r="H21" s="17">
        <f>ROUND(47950*0.9,-2)</f>
        <v>43200</v>
      </c>
      <c r="I21" s="17"/>
      <c r="J21" s="17">
        <f>ROUND(50100*0.9,-2)</f>
        <v>45100</v>
      </c>
      <c r="K21" s="17"/>
      <c r="L21" s="17">
        <f>ROUND(49000*0.9,-2)</f>
        <v>44100</v>
      </c>
      <c r="M21" s="17"/>
      <c r="N21" s="17">
        <f>ROUND(53300*0.9,-2)</f>
        <v>48000</v>
      </c>
      <c r="O21" s="17"/>
      <c r="P21" s="17">
        <f>ROUND(57000*0.9,-2)</f>
        <v>51300</v>
      </c>
      <c r="Q21" s="17"/>
      <c r="R21" s="17">
        <f>ROUND(66050*0.9,-2)</f>
        <v>59400</v>
      </c>
      <c r="S21" s="17"/>
      <c r="T21" s="17">
        <f>ROUND(62350*0.9,-2)</f>
        <v>56100</v>
      </c>
      <c r="U21" s="17"/>
      <c r="V21" s="17">
        <f>ROUND(66600*0.9,-2)</f>
        <v>59900</v>
      </c>
      <c r="W21" s="17"/>
      <c r="X21" s="17">
        <f>ROUND(65550*0.9,-2)</f>
        <v>59000</v>
      </c>
      <c r="Y21" s="17"/>
      <c r="Z21" s="17">
        <f>ROUND(73999*0.9,-2)</f>
        <v>66600</v>
      </c>
      <c r="AA21" s="17"/>
    </row>
    <row r="22" spans="1:27" ht="22.5" customHeight="1">
      <c r="A22" s="2" t="s">
        <v>121</v>
      </c>
      <c r="B22" s="7" t="s">
        <v>29</v>
      </c>
      <c r="C22" s="7"/>
      <c r="D22" s="6">
        <f>ROUND(21400*0.9,-2)</f>
        <v>19300</v>
      </c>
      <c r="E22" s="6"/>
      <c r="F22" s="6">
        <f>ROUND(24550*0.9,-2)</f>
        <v>22100</v>
      </c>
      <c r="G22" s="6"/>
      <c r="H22" s="6">
        <f>ROUND(26000*0.9,-2)</f>
        <v>23400</v>
      </c>
      <c r="I22" s="6"/>
      <c r="J22" s="6">
        <f>ROUND(27150*0.9,-2)</f>
        <v>24400</v>
      </c>
      <c r="K22" s="6"/>
      <c r="L22" s="6">
        <f>ROUND(27150*0.9,-2)</f>
        <v>24400</v>
      </c>
      <c r="M22" s="6"/>
      <c r="N22" s="6">
        <f>ROUND(28900*0.9,-2)</f>
        <v>26000</v>
      </c>
      <c r="O22" s="6"/>
      <c r="P22" s="6">
        <f>ROUND(31500*0.9,-2)</f>
        <v>28400</v>
      </c>
      <c r="Q22" s="6"/>
      <c r="R22" s="6">
        <f>ROUND(35850*0.9,-2)</f>
        <v>32300</v>
      </c>
      <c r="S22" s="6"/>
      <c r="T22" s="6">
        <f>ROUND(33800*0.9,-2)</f>
        <v>30400</v>
      </c>
      <c r="U22" s="6"/>
      <c r="V22" s="6">
        <f>ROUND(36150*0.9,-2)</f>
        <v>32500</v>
      </c>
      <c r="W22" s="6"/>
      <c r="X22" s="6">
        <f>ROUND(35500*0.9,-2)</f>
        <v>32000</v>
      </c>
      <c r="Y22" s="6"/>
      <c r="Z22" s="6">
        <f>ROUND(39550*0.9,-2)</f>
        <v>35600</v>
      </c>
      <c r="AA22" s="6"/>
    </row>
    <row r="23" spans="1:27" ht="22.5" customHeight="1">
      <c r="A23" s="3" t="s">
        <v>59</v>
      </c>
      <c r="B23" s="7" t="s">
        <v>60</v>
      </c>
      <c r="C23" s="7"/>
      <c r="D23" s="17" t="s">
        <v>30</v>
      </c>
      <c r="E23" s="17"/>
      <c r="F23" s="17">
        <f>ROUND(43800*0.9,-2)</f>
        <v>39400</v>
      </c>
      <c r="G23" s="17"/>
      <c r="H23" s="17" t="s">
        <v>30</v>
      </c>
      <c r="I23" s="17"/>
      <c r="J23" s="17">
        <f>ROUND(48450*0.9,-2)</f>
        <v>43600</v>
      </c>
      <c r="K23" s="17"/>
      <c r="L23" s="17">
        <f>ROUND(48450*0.9,-2)</f>
        <v>43600</v>
      </c>
      <c r="M23" s="17"/>
      <c r="N23" s="17">
        <f>ROUND(51500*0.9,-2)</f>
        <v>46400</v>
      </c>
      <c r="O23" s="17"/>
      <c r="P23" s="17">
        <f>ROUND(56150*0.9,-2)</f>
        <v>50500</v>
      </c>
      <c r="Q23" s="17"/>
      <c r="R23" s="17">
        <f>ROUND(63900*0.9,-2)</f>
        <v>57500</v>
      </c>
      <c r="S23" s="17"/>
      <c r="T23" s="17">
        <f>ROUND(60300*0.9,-2)</f>
        <v>54300</v>
      </c>
      <c r="U23" s="17"/>
      <c r="V23" s="17">
        <f>ROUND(64400*0.9,-2)</f>
        <v>58000</v>
      </c>
      <c r="W23" s="17"/>
      <c r="X23" s="17">
        <f>ROUND(63350*0.9,-2)</f>
        <v>57000</v>
      </c>
      <c r="Y23" s="17"/>
      <c r="Z23" s="17">
        <f>ROUND(70600*0.9,-2)</f>
        <v>63500</v>
      </c>
      <c r="AA23" s="17"/>
    </row>
    <row r="24" spans="1:27" ht="22.5" customHeight="1">
      <c r="A24" s="4" t="s">
        <v>61</v>
      </c>
      <c r="B24" s="18" t="s">
        <v>62</v>
      </c>
      <c r="C24" s="18"/>
      <c r="D24" s="19" t="s">
        <v>30</v>
      </c>
      <c r="E24" s="19"/>
      <c r="F24" s="19">
        <f>ROUND(50350*0.9,-2)</f>
        <v>45300</v>
      </c>
      <c r="G24" s="19"/>
      <c r="H24" s="19" t="s">
        <v>30</v>
      </c>
      <c r="I24" s="19"/>
      <c r="J24" s="19">
        <f>ROUND(58540*0.9,-2)</f>
        <v>52700</v>
      </c>
      <c r="K24" s="19"/>
      <c r="L24" s="19">
        <f>ROUND(57200*0.9,-2)</f>
        <v>51500</v>
      </c>
      <c r="M24" s="19"/>
      <c r="N24" s="19">
        <f>ROUND(62150*0.9,-2)</f>
        <v>55900</v>
      </c>
      <c r="O24" s="19"/>
      <c r="P24" s="19">
        <f>ROUND(66500*0.9,-2)</f>
        <v>59900</v>
      </c>
      <c r="Q24" s="19"/>
      <c r="R24" s="19">
        <f>ROUND(77100*0.9,-2)</f>
        <v>69400</v>
      </c>
      <c r="S24" s="19"/>
      <c r="T24" s="19">
        <f>ROUND(72700*0.9,-2)</f>
        <v>65400</v>
      </c>
      <c r="U24" s="19"/>
      <c r="V24" s="19">
        <f>ROUND(77700*0.9,-2)</f>
        <v>69900</v>
      </c>
      <c r="W24" s="19"/>
      <c r="X24" s="19">
        <f>ROUND(76450*0.9,-2)</f>
        <v>68800</v>
      </c>
      <c r="Y24" s="19"/>
      <c r="Z24" s="19">
        <f>ROUND(85150*0.9,-2)</f>
        <v>76600</v>
      </c>
      <c r="AA24" s="19"/>
    </row>
    <row r="25" spans="1:27" ht="22.5" customHeight="1">
      <c r="A25" s="8" t="s">
        <v>63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28.5" customHeight="1">
      <c r="A26" s="10" t="s">
        <v>36</v>
      </c>
      <c r="B26" s="10"/>
      <c r="C26" s="10"/>
      <c r="D26" s="11" t="s">
        <v>46</v>
      </c>
      <c r="E26" s="11"/>
      <c r="F26" s="11" t="s">
        <v>47</v>
      </c>
      <c r="G26" s="11"/>
      <c r="H26" s="11" t="s">
        <v>48</v>
      </c>
      <c r="I26" s="11"/>
      <c r="J26" s="11" t="s">
        <v>49</v>
      </c>
      <c r="K26" s="11"/>
      <c r="L26" s="11" t="s">
        <v>50</v>
      </c>
      <c r="M26" s="11"/>
      <c r="N26" s="11" t="s">
        <v>51</v>
      </c>
      <c r="O26" s="11"/>
      <c r="P26" s="11" t="s">
        <v>52</v>
      </c>
      <c r="Q26" s="11"/>
      <c r="R26" s="11" t="s">
        <v>53</v>
      </c>
      <c r="S26" s="11"/>
      <c r="T26" s="11" t="s">
        <v>54</v>
      </c>
      <c r="U26" s="11"/>
      <c r="V26" s="11" t="s">
        <v>55</v>
      </c>
      <c r="W26" s="11"/>
      <c r="X26" s="11" t="s">
        <v>56</v>
      </c>
      <c r="Y26" s="11"/>
      <c r="Z26" s="11" t="s">
        <v>57</v>
      </c>
      <c r="AA26" s="11"/>
    </row>
    <row r="27" spans="1:27" ht="27.75" customHeight="1">
      <c r="A27" s="3" t="s">
        <v>64</v>
      </c>
      <c r="B27" s="7" t="s">
        <v>65</v>
      </c>
      <c r="C27" s="7"/>
      <c r="D27" s="17">
        <f>ROUND(14050*0.9,-2)</f>
        <v>12600</v>
      </c>
      <c r="E27" s="17"/>
      <c r="F27" s="17">
        <f>ROUND(14250*0.9,-2)</f>
        <v>12800</v>
      </c>
      <c r="G27" s="17"/>
      <c r="H27" s="17">
        <f>ROUND(14550*0.9,-2)</f>
        <v>13100</v>
      </c>
      <c r="I27" s="17"/>
      <c r="J27" s="17">
        <f>ROUND(15250*0.9,-2)</f>
        <v>13700</v>
      </c>
      <c r="K27" s="17"/>
      <c r="L27" s="17">
        <f>ROUND(15250*0.9,-2)</f>
        <v>13700</v>
      </c>
      <c r="M27" s="17"/>
      <c r="N27" s="17">
        <f>ROUND(15750*0.9,-2)</f>
        <v>14200</v>
      </c>
      <c r="O27" s="17"/>
      <c r="P27" s="17">
        <f>ROUND(16350*0.9,-2)</f>
        <v>14700</v>
      </c>
      <c r="Q27" s="17"/>
      <c r="R27" s="17">
        <f>ROUND(17450*0.9,-2)</f>
        <v>15700</v>
      </c>
      <c r="S27" s="17"/>
      <c r="T27" s="17">
        <f>ROUND(17050*0.9,-2)</f>
        <v>15300</v>
      </c>
      <c r="U27" s="17"/>
      <c r="V27" s="17">
        <f>ROUND(17650*0.9,-2)</f>
        <v>15900</v>
      </c>
      <c r="W27" s="17"/>
      <c r="X27" s="17">
        <f>ROUND(17550*0.9,-2)</f>
        <v>15800</v>
      </c>
      <c r="Y27" s="17"/>
      <c r="Z27" s="17">
        <f>ROUND(18250*0.9,-2)</f>
        <v>16400</v>
      </c>
      <c r="AA27" s="17"/>
    </row>
    <row r="28" spans="1:27" ht="22.5" customHeight="1">
      <c r="A28" s="3" t="s">
        <v>66</v>
      </c>
      <c r="B28" s="7" t="s">
        <v>67</v>
      </c>
      <c r="C28" s="7"/>
      <c r="D28" s="17">
        <f>ROUND(12100*0.9,-2)</f>
        <v>10900</v>
      </c>
      <c r="E28" s="17"/>
      <c r="F28" s="17">
        <f>ROUND(12250*0.9,-2)</f>
        <v>11000</v>
      </c>
      <c r="G28" s="17"/>
      <c r="H28" s="17">
        <f>ROUND(12500*0.9,-2)</f>
        <v>11300</v>
      </c>
      <c r="I28" s="17"/>
      <c r="J28" s="17">
        <f>ROUND(13000*0.9,-2)</f>
        <v>11700</v>
      </c>
      <c r="K28" s="17"/>
      <c r="L28" s="17">
        <f>ROUND(13000*0.9,-2)</f>
        <v>11700</v>
      </c>
      <c r="M28" s="17"/>
      <c r="N28" s="17">
        <f>ROUND(13400*0.9,-2)</f>
        <v>12100</v>
      </c>
      <c r="O28" s="17"/>
      <c r="P28" s="17">
        <f>ROUND(13850*0.9,-2)</f>
        <v>12500</v>
      </c>
      <c r="Q28" s="17"/>
      <c r="R28" s="17">
        <f>ROUND(14700*0.9,-2)</f>
        <v>13200</v>
      </c>
      <c r="S28" s="17"/>
      <c r="T28" s="17">
        <f>ROUND(14400*0.9,-2)</f>
        <v>13000</v>
      </c>
      <c r="U28" s="17"/>
      <c r="V28" s="17">
        <f>ROUND(14850*0.9,-2)</f>
        <v>13400</v>
      </c>
      <c r="W28" s="17"/>
      <c r="X28" s="17">
        <f>ROUND(14750*0.9,-2)</f>
        <v>13300</v>
      </c>
      <c r="Y28" s="17"/>
      <c r="Z28" s="17">
        <f>ROUND(15300*0.9,-2)</f>
        <v>13800</v>
      </c>
      <c r="AA28" s="17"/>
    </row>
    <row r="29" spans="1:27" ht="22.5" customHeight="1">
      <c r="A29" s="8" t="s">
        <v>68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22.5" customHeight="1">
      <c r="A30" s="10" t="s">
        <v>36</v>
      </c>
      <c r="B30" s="10"/>
      <c r="C30" s="10"/>
      <c r="D30" s="11" t="s">
        <v>46</v>
      </c>
      <c r="E30" s="11"/>
      <c r="F30" s="11" t="s">
        <v>47</v>
      </c>
      <c r="G30" s="11"/>
      <c r="H30" s="11" t="s">
        <v>48</v>
      </c>
      <c r="I30" s="11"/>
      <c r="J30" s="11" t="s">
        <v>49</v>
      </c>
      <c r="K30" s="11"/>
      <c r="L30" s="11" t="s">
        <v>50</v>
      </c>
      <c r="M30" s="11"/>
      <c r="N30" s="11" t="s">
        <v>51</v>
      </c>
      <c r="O30" s="11"/>
      <c r="P30" s="11" t="s">
        <v>52</v>
      </c>
      <c r="Q30" s="11"/>
      <c r="R30" s="11" t="s">
        <v>53</v>
      </c>
      <c r="S30" s="11"/>
      <c r="T30" s="11" t="s">
        <v>54</v>
      </c>
      <c r="U30" s="11"/>
      <c r="V30" s="11" t="s">
        <v>55</v>
      </c>
      <c r="W30" s="11"/>
      <c r="X30" s="11" t="s">
        <v>56</v>
      </c>
      <c r="Y30" s="11"/>
      <c r="Z30" s="11" t="s">
        <v>57</v>
      </c>
      <c r="AA30" s="11"/>
    </row>
    <row r="31" spans="1:27" ht="22.5" customHeight="1">
      <c r="A31" s="5" t="s">
        <v>69</v>
      </c>
      <c r="B31" s="16" t="s">
        <v>43</v>
      </c>
      <c r="C31" s="16"/>
      <c r="D31" s="17">
        <f>ROUND(17850*0.9,-2)</f>
        <v>16100</v>
      </c>
      <c r="E31" s="17"/>
      <c r="F31" s="17" t="s">
        <v>30</v>
      </c>
      <c r="G31" s="17"/>
      <c r="H31" s="17" t="s">
        <v>30</v>
      </c>
      <c r="I31" s="17"/>
      <c r="J31" s="17">
        <f>ROUND(20400*0.9,-2)</f>
        <v>18400</v>
      </c>
      <c r="K31" s="17"/>
      <c r="L31" s="17">
        <f>ROUND(20400*0.9,-2)</f>
        <v>18400</v>
      </c>
      <c r="M31" s="17"/>
      <c r="N31" s="17">
        <f>ROUND(21500*0.9,-2)</f>
        <v>19400</v>
      </c>
      <c r="O31" s="17"/>
      <c r="P31" s="17">
        <f>ROUND(22800*0.9,-2)</f>
        <v>20500</v>
      </c>
      <c r="Q31" s="17"/>
      <c r="R31" s="17">
        <f>ROUND(25150*0.9,-2)</f>
        <v>22600</v>
      </c>
      <c r="S31" s="17"/>
      <c r="T31" s="17" t="s">
        <v>30</v>
      </c>
      <c r="U31" s="17"/>
      <c r="V31" s="17">
        <f>ROUND(25600*0.9,-2)</f>
        <v>23000</v>
      </c>
      <c r="W31" s="17"/>
      <c r="X31" s="17">
        <f>ROUND(25350*0.9,-2)</f>
        <v>22800</v>
      </c>
      <c r="Y31" s="17"/>
      <c r="Z31" s="17">
        <f>ROUND(26850*0.9,-2)</f>
        <v>24200</v>
      </c>
      <c r="AA31" s="17"/>
    </row>
    <row r="32" spans="1:27" ht="22.5" customHeight="1">
      <c r="A32" s="5" t="s">
        <v>70</v>
      </c>
      <c r="B32" s="16"/>
      <c r="C32" s="16"/>
      <c r="D32" s="17">
        <f>ROUND(14400*0.9,-2)</f>
        <v>13000</v>
      </c>
      <c r="E32" s="17"/>
      <c r="F32" s="17" t="s">
        <v>30</v>
      </c>
      <c r="G32" s="17"/>
      <c r="H32" s="17" t="s">
        <v>30</v>
      </c>
      <c r="I32" s="17"/>
      <c r="J32" s="17">
        <f>ROUND(16500*0.9,-2)</f>
        <v>14900</v>
      </c>
      <c r="K32" s="17"/>
      <c r="L32" s="17">
        <f>ROUND(16500*0.9,-2)</f>
        <v>14900</v>
      </c>
      <c r="M32" s="17"/>
      <c r="N32" s="17">
        <f>ROUND(17350*0.9,-2)</f>
        <v>15600</v>
      </c>
      <c r="O32" s="17"/>
      <c r="P32" s="17">
        <f>ROUND(18400*0.9,-2)</f>
        <v>16600</v>
      </c>
      <c r="Q32" s="17"/>
      <c r="R32" s="17">
        <f>ROUND(20300*0.9,-2)</f>
        <v>18300</v>
      </c>
      <c r="S32" s="17"/>
      <c r="T32" s="17" t="s">
        <v>30</v>
      </c>
      <c r="U32" s="17"/>
      <c r="V32" s="17">
        <f>ROUND(20650*0.9,-2)</f>
        <v>18600</v>
      </c>
      <c r="W32" s="17"/>
      <c r="X32" s="17">
        <f>ROUND(20450*0.9,-2)</f>
        <v>18400</v>
      </c>
      <c r="Y32" s="17"/>
      <c r="Z32" s="17">
        <f>ROUND(21700*0.9,-2)</f>
        <v>19500</v>
      </c>
      <c r="AA32" s="17"/>
    </row>
    <row r="33" spans="1:27" ht="22.5" customHeight="1">
      <c r="A33" s="8" t="s">
        <v>71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22.5" customHeight="1">
      <c r="A34" s="10" t="s">
        <v>36</v>
      </c>
      <c r="B34" s="10"/>
      <c r="C34" s="10"/>
      <c r="D34" s="11" t="s">
        <v>46</v>
      </c>
      <c r="E34" s="11"/>
      <c r="F34" s="11" t="s">
        <v>47</v>
      </c>
      <c r="G34" s="11"/>
      <c r="H34" s="11" t="s">
        <v>48</v>
      </c>
      <c r="I34" s="11"/>
      <c r="J34" s="11" t="s">
        <v>49</v>
      </c>
      <c r="K34" s="11"/>
      <c r="L34" s="11" t="s">
        <v>50</v>
      </c>
      <c r="M34" s="11"/>
      <c r="N34" s="11" t="s">
        <v>51</v>
      </c>
      <c r="O34" s="11"/>
      <c r="P34" s="11" t="s">
        <v>52</v>
      </c>
      <c r="Q34" s="11"/>
      <c r="R34" s="11" t="s">
        <v>53</v>
      </c>
      <c r="S34" s="11"/>
      <c r="T34" s="11" t="s">
        <v>54</v>
      </c>
      <c r="U34" s="11"/>
      <c r="V34" s="11" t="s">
        <v>55</v>
      </c>
      <c r="W34" s="11"/>
      <c r="X34" s="11" t="s">
        <v>56</v>
      </c>
      <c r="Y34" s="11"/>
      <c r="Z34" s="11" t="s">
        <v>57</v>
      </c>
      <c r="AA34" s="11"/>
    </row>
    <row r="35" spans="1:27" ht="22.5" customHeight="1">
      <c r="A35" s="2" t="s">
        <v>72</v>
      </c>
      <c r="B35" s="7" t="s">
        <v>73</v>
      </c>
      <c r="C35" s="7"/>
      <c r="D35" s="20">
        <f>ROUND(5800*0.9,-2)</f>
        <v>5200</v>
      </c>
      <c r="E35" s="20"/>
      <c r="F35" s="20">
        <f>ROUND(5800*0.9,-2)</f>
        <v>5200</v>
      </c>
      <c r="G35" s="20"/>
      <c r="H35" s="20">
        <f>ROUND(5800*0.9,-2)</f>
        <v>5200</v>
      </c>
      <c r="I35" s="20"/>
      <c r="J35" s="20">
        <f>ROUND(5800*0.9,-2)</f>
        <v>5200</v>
      </c>
      <c r="K35" s="20"/>
      <c r="L35" s="20">
        <f>ROUND(5800*0.9,-2)</f>
        <v>5200</v>
      </c>
      <c r="M35" s="20"/>
      <c r="N35" s="20">
        <f>ROUND(5800*0.9,-2)</f>
        <v>5200</v>
      </c>
      <c r="O35" s="20"/>
      <c r="P35" s="20">
        <f>ROUND(5800*0.9,-2)</f>
        <v>5200</v>
      </c>
      <c r="Q35" s="20"/>
      <c r="R35" s="20">
        <f>ROUND(5800*0.9,-2)</f>
        <v>5200</v>
      </c>
      <c r="S35" s="20"/>
      <c r="T35" s="20">
        <f>ROUND(5800*0.9,-2)</f>
        <v>5200</v>
      </c>
      <c r="U35" s="20"/>
      <c r="V35" s="20">
        <f>ROUND(5800*0.9,-2)</f>
        <v>5200</v>
      </c>
      <c r="W35" s="20"/>
      <c r="X35" s="20">
        <f>ROUND(5800*0.9,-2)</f>
        <v>5200</v>
      </c>
      <c r="Y35" s="20"/>
      <c r="Z35" s="20">
        <f>ROUND(5800*0.9,-2)</f>
        <v>5200</v>
      </c>
      <c r="AA35" s="20"/>
    </row>
    <row r="36" spans="1:27" ht="22.5" customHeight="1">
      <c r="A36" s="8" t="s">
        <v>74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2.5" customHeight="1">
      <c r="A37" s="10" t="s">
        <v>2</v>
      </c>
      <c r="B37" s="10"/>
      <c r="C37" s="27"/>
      <c r="D37" s="21" t="s">
        <v>49</v>
      </c>
      <c r="E37" s="22"/>
      <c r="F37" s="23"/>
      <c r="G37" s="21" t="s">
        <v>50</v>
      </c>
      <c r="H37" s="22"/>
      <c r="I37" s="23"/>
      <c r="J37" s="21" t="s">
        <v>52</v>
      </c>
      <c r="K37" s="22"/>
      <c r="L37" s="23"/>
      <c r="M37" s="21" t="s">
        <v>57</v>
      </c>
      <c r="N37" s="22"/>
      <c r="O37" s="23"/>
      <c r="P37" s="35" t="s">
        <v>114</v>
      </c>
      <c r="Q37" s="36"/>
      <c r="R37" s="37"/>
      <c r="S37" s="35" t="s">
        <v>115</v>
      </c>
      <c r="T37" s="36"/>
      <c r="U37" s="37"/>
      <c r="V37" s="35" t="s">
        <v>116</v>
      </c>
      <c r="W37" s="36"/>
      <c r="X37" s="37"/>
      <c r="Y37" s="35" t="s">
        <v>119</v>
      </c>
      <c r="Z37" s="36"/>
      <c r="AA37" s="37"/>
    </row>
    <row r="38" spans="1:27" ht="22.5" customHeight="1">
      <c r="A38" s="12" t="s">
        <v>15</v>
      </c>
      <c r="B38" s="12"/>
      <c r="C38" s="38"/>
      <c r="D38" s="28" t="s">
        <v>19</v>
      </c>
      <c r="E38" s="29"/>
      <c r="F38" s="30"/>
      <c r="G38" s="28" t="s">
        <v>20</v>
      </c>
      <c r="H38" s="29"/>
      <c r="I38" s="30"/>
      <c r="J38" s="28" t="s">
        <v>22</v>
      </c>
      <c r="K38" s="29"/>
      <c r="L38" s="30"/>
      <c r="M38" s="28" t="s">
        <v>27</v>
      </c>
      <c r="N38" s="29"/>
      <c r="O38" s="30"/>
      <c r="P38" s="28" t="s">
        <v>113</v>
      </c>
      <c r="Q38" s="29"/>
      <c r="R38" s="30"/>
      <c r="S38" s="28" t="s">
        <v>117</v>
      </c>
      <c r="T38" s="29"/>
      <c r="U38" s="30"/>
      <c r="V38" s="28" t="s">
        <v>118</v>
      </c>
      <c r="W38" s="29"/>
      <c r="X38" s="30"/>
      <c r="Y38" s="28" t="s">
        <v>120</v>
      </c>
      <c r="Z38" s="29"/>
      <c r="AA38" s="30"/>
    </row>
    <row r="39" spans="1:27" ht="22.5" customHeight="1">
      <c r="A39" s="2" t="s">
        <v>102</v>
      </c>
      <c r="B39" s="7" t="s">
        <v>75</v>
      </c>
      <c r="C39" s="31"/>
      <c r="D39" s="24">
        <f>ROUND(48650*0.9,-2)</f>
        <v>43800</v>
      </c>
      <c r="E39" s="25"/>
      <c r="F39" s="26"/>
      <c r="G39" s="24">
        <f>ROUND(48650*0.9,-2)</f>
        <v>43800</v>
      </c>
      <c r="H39" s="25"/>
      <c r="I39" s="26"/>
      <c r="J39" s="24" t="s">
        <v>30</v>
      </c>
      <c r="K39" s="25"/>
      <c r="L39" s="26"/>
      <c r="M39" s="24" t="s">
        <v>30</v>
      </c>
      <c r="N39" s="25"/>
      <c r="O39" s="26"/>
      <c r="P39" s="24" t="s">
        <v>30</v>
      </c>
      <c r="Q39" s="25"/>
      <c r="R39" s="26"/>
      <c r="S39" s="24" t="s">
        <v>30</v>
      </c>
      <c r="T39" s="25"/>
      <c r="U39" s="26"/>
      <c r="V39" s="24" t="s">
        <v>30</v>
      </c>
      <c r="W39" s="25"/>
      <c r="X39" s="26"/>
      <c r="Y39" s="24" t="s">
        <v>30</v>
      </c>
      <c r="Z39" s="25"/>
      <c r="AA39" s="26"/>
    </row>
    <row r="40" spans="1:27" ht="22.5" customHeight="1">
      <c r="A40" s="2" t="s">
        <v>103</v>
      </c>
      <c r="B40" s="7" t="s">
        <v>106</v>
      </c>
      <c r="C40" s="31"/>
      <c r="D40" s="24" t="s">
        <v>30</v>
      </c>
      <c r="E40" s="25"/>
      <c r="F40" s="26"/>
      <c r="G40" s="24" t="s">
        <v>30</v>
      </c>
      <c r="H40" s="25"/>
      <c r="I40" s="26"/>
      <c r="J40" s="24">
        <f>ROUND(63100*0.9,-2)</f>
        <v>56800</v>
      </c>
      <c r="K40" s="25"/>
      <c r="L40" s="26"/>
      <c r="M40" s="24">
        <f>ROUND(82050*0.9,-2)</f>
        <v>73800</v>
      </c>
      <c r="N40" s="25"/>
      <c r="O40" s="26"/>
      <c r="P40" s="24" t="s">
        <v>30</v>
      </c>
      <c r="Q40" s="25"/>
      <c r="R40" s="26"/>
      <c r="S40" s="24" t="s">
        <v>30</v>
      </c>
      <c r="T40" s="25"/>
      <c r="U40" s="26"/>
      <c r="V40" s="24" t="s">
        <v>30</v>
      </c>
      <c r="W40" s="25"/>
      <c r="X40" s="26"/>
      <c r="Y40" s="24" t="s">
        <v>30</v>
      </c>
      <c r="Z40" s="25"/>
      <c r="AA40" s="26"/>
    </row>
    <row r="41" spans="1:27" ht="22.5" customHeight="1">
      <c r="A41" s="2" t="s">
        <v>104</v>
      </c>
      <c r="B41" s="7" t="s">
        <v>105</v>
      </c>
      <c r="C41" s="31"/>
      <c r="D41" s="24" t="s">
        <v>30</v>
      </c>
      <c r="E41" s="25"/>
      <c r="F41" s="26"/>
      <c r="G41" s="24" t="s">
        <v>30</v>
      </c>
      <c r="H41" s="25"/>
      <c r="I41" s="26"/>
      <c r="J41" s="24">
        <f>ROUND(78900*0.9,-2)</f>
        <v>71000</v>
      </c>
      <c r="K41" s="25"/>
      <c r="L41" s="26"/>
      <c r="M41" s="24">
        <f>ROUND(102550*0.9,-2)</f>
        <v>92300</v>
      </c>
      <c r="N41" s="25"/>
      <c r="O41" s="26"/>
      <c r="P41" s="24" t="s">
        <v>30</v>
      </c>
      <c r="Q41" s="25"/>
      <c r="R41" s="26"/>
      <c r="S41" s="24" t="s">
        <v>30</v>
      </c>
      <c r="T41" s="25"/>
      <c r="U41" s="26"/>
      <c r="V41" s="24" t="s">
        <v>30</v>
      </c>
      <c r="W41" s="25"/>
      <c r="X41" s="26"/>
      <c r="Y41" s="24" t="s">
        <v>30</v>
      </c>
      <c r="Z41" s="25"/>
      <c r="AA41" s="26"/>
    </row>
    <row r="42" spans="1:27" ht="22.5" customHeight="1">
      <c r="A42" s="2" t="s">
        <v>110</v>
      </c>
      <c r="B42" s="7" t="s">
        <v>111</v>
      </c>
      <c r="C42" s="31"/>
      <c r="D42" s="24" t="s">
        <v>30</v>
      </c>
      <c r="E42" s="25"/>
      <c r="F42" s="26"/>
      <c r="G42" s="24" t="s">
        <v>30</v>
      </c>
      <c r="H42" s="25"/>
      <c r="I42" s="26"/>
      <c r="J42" s="24" t="s">
        <v>30</v>
      </c>
      <c r="K42" s="25"/>
      <c r="L42" s="26"/>
      <c r="M42" s="24" t="s">
        <v>30</v>
      </c>
      <c r="N42" s="25"/>
      <c r="O42" s="26"/>
      <c r="P42" s="24" t="s">
        <v>30</v>
      </c>
      <c r="Q42" s="25"/>
      <c r="R42" s="26"/>
      <c r="S42" s="24" t="s">
        <v>30</v>
      </c>
      <c r="T42" s="25"/>
      <c r="U42" s="26"/>
      <c r="V42" s="24" t="s">
        <v>30</v>
      </c>
      <c r="W42" s="25"/>
      <c r="X42" s="26"/>
      <c r="Y42" s="24">
        <f>ROUND(21500*0.9,-2)</f>
        <v>19400</v>
      </c>
      <c r="Z42" s="25"/>
      <c r="AA42" s="26"/>
    </row>
    <row r="43" spans="1:27" ht="22.5" customHeight="1">
      <c r="A43" s="2" t="s">
        <v>112</v>
      </c>
      <c r="B43" s="7" t="s">
        <v>111</v>
      </c>
      <c r="C43" s="31"/>
      <c r="D43" s="24" t="s">
        <v>30</v>
      </c>
      <c r="E43" s="25"/>
      <c r="F43" s="26"/>
      <c r="G43" s="24" t="s">
        <v>30</v>
      </c>
      <c r="H43" s="25"/>
      <c r="I43" s="26"/>
      <c r="J43" s="24" t="s">
        <v>30</v>
      </c>
      <c r="K43" s="25"/>
      <c r="L43" s="26"/>
      <c r="M43" s="24" t="s">
        <v>30</v>
      </c>
      <c r="N43" s="25"/>
      <c r="O43" s="26"/>
      <c r="P43" s="24">
        <f>ROUND(10700*0.9,-2)</f>
        <v>9600</v>
      </c>
      <c r="Q43" s="25"/>
      <c r="R43" s="26"/>
      <c r="S43" s="24">
        <f>ROUND(11100*0.9,-2)</f>
        <v>10000</v>
      </c>
      <c r="T43" s="25"/>
      <c r="U43" s="26"/>
      <c r="V43" s="24">
        <f>ROUND(15200*0.9,-2)</f>
        <v>13700</v>
      </c>
      <c r="W43" s="25"/>
      <c r="X43" s="26"/>
      <c r="Y43" s="24" t="s">
        <v>30</v>
      </c>
      <c r="Z43" s="25"/>
      <c r="AA43" s="26"/>
    </row>
    <row r="44" spans="1:27" ht="27" customHeight="1">
      <c r="A44" s="8" t="s">
        <v>76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22.5" customHeight="1">
      <c r="A45" s="10" t="s">
        <v>2</v>
      </c>
      <c r="B45" s="10"/>
      <c r="C45" s="10"/>
      <c r="D45" s="11" t="s">
        <v>3</v>
      </c>
      <c r="E45" s="11"/>
      <c r="F45" s="11" t="s">
        <v>4</v>
      </c>
      <c r="G45" s="11"/>
      <c r="H45" s="11" t="s">
        <v>5</v>
      </c>
      <c r="I45" s="11"/>
      <c r="J45" s="11" t="s">
        <v>6</v>
      </c>
      <c r="K45" s="11"/>
      <c r="L45" s="11" t="s">
        <v>7</v>
      </c>
      <c r="M45" s="11"/>
      <c r="N45" s="11" t="s">
        <v>8</v>
      </c>
      <c r="O45" s="11"/>
      <c r="P45" s="11" t="s">
        <v>9</v>
      </c>
      <c r="Q45" s="11"/>
      <c r="R45" s="11" t="s">
        <v>10</v>
      </c>
      <c r="S45" s="11"/>
      <c r="T45" s="11" t="s">
        <v>11</v>
      </c>
      <c r="U45" s="11"/>
      <c r="V45" s="11" t="s">
        <v>12</v>
      </c>
      <c r="W45" s="11"/>
      <c r="X45" s="11" t="s">
        <v>13</v>
      </c>
      <c r="Y45" s="11"/>
      <c r="Z45" s="11" t="s">
        <v>14</v>
      </c>
      <c r="AA45" s="11"/>
    </row>
    <row r="46" spans="1:27" ht="22.5" customHeight="1">
      <c r="A46" s="10"/>
      <c r="B46" s="10"/>
      <c r="C46" s="10"/>
      <c r="D46" s="11" t="s">
        <v>46</v>
      </c>
      <c r="E46" s="11"/>
      <c r="F46" s="11" t="s">
        <v>47</v>
      </c>
      <c r="G46" s="11"/>
      <c r="H46" s="11" t="s">
        <v>48</v>
      </c>
      <c r="I46" s="11"/>
      <c r="J46" s="11" t="s">
        <v>49</v>
      </c>
      <c r="K46" s="11"/>
      <c r="L46" s="11" t="s">
        <v>50</v>
      </c>
      <c r="M46" s="11"/>
      <c r="N46" s="11" t="s">
        <v>51</v>
      </c>
      <c r="O46" s="11"/>
      <c r="P46" s="11" t="s">
        <v>52</v>
      </c>
      <c r="Q46" s="11"/>
      <c r="R46" s="11" t="s">
        <v>53</v>
      </c>
      <c r="S46" s="11"/>
      <c r="T46" s="11" t="s">
        <v>54</v>
      </c>
      <c r="U46" s="11"/>
      <c r="V46" s="11" t="s">
        <v>55</v>
      </c>
      <c r="W46" s="11"/>
      <c r="X46" s="11" t="s">
        <v>56</v>
      </c>
      <c r="Y46" s="11"/>
      <c r="Z46" s="11" t="s">
        <v>57</v>
      </c>
      <c r="AA46" s="11"/>
    </row>
    <row r="47" spans="1:27" ht="22.5" customHeight="1">
      <c r="A47" s="2" t="s">
        <v>77</v>
      </c>
      <c r="B47" s="7" t="s">
        <v>78</v>
      </c>
      <c r="C47" s="7"/>
      <c r="D47" s="17">
        <f>ROUND(6400*0.9,-2)</f>
        <v>5800</v>
      </c>
      <c r="E47" s="17">
        <v>2600</v>
      </c>
      <c r="F47" s="17">
        <f>ROUND(6800*0.9,-2)</f>
        <v>6100</v>
      </c>
      <c r="G47" s="17">
        <v>2601</v>
      </c>
      <c r="H47" s="17">
        <f>ROUND(7400*0.9,-2)</f>
        <v>6700</v>
      </c>
      <c r="I47" s="17">
        <v>2799</v>
      </c>
      <c r="J47" s="17">
        <f>ROUND(7950*0.9,-2)</f>
        <v>7200</v>
      </c>
      <c r="K47" s="17">
        <v>2800</v>
      </c>
      <c r="L47" s="17">
        <f>ROUND(7700*0.9,-2)</f>
        <v>6900</v>
      </c>
      <c r="M47" s="17">
        <v>3100</v>
      </c>
      <c r="N47" s="17">
        <f>ROUND(8300*0.9,-2)</f>
        <v>7500</v>
      </c>
      <c r="O47" s="17">
        <v>3400</v>
      </c>
      <c r="P47" s="17">
        <f>ROUND(8900*0.9,-2)</f>
        <v>8000</v>
      </c>
      <c r="Q47" s="17"/>
      <c r="R47" s="17">
        <f>ROUND(9950*0.9,-2)</f>
        <v>9000</v>
      </c>
      <c r="S47" s="17"/>
      <c r="T47" s="17">
        <f>ROUND(9150*0.9,-2)</f>
        <v>8200</v>
      </c>
      <c r="U47" s="17"/>
      <c r="V47" s="17">
        <f>ROUND(9950*0.9,-2)</f>
        <v>9000</v>
      </c>
      <c r="W47" s="17"/>
      <c r="X47" s="17">
        <f>ROUND(10400*0.9,-2)</f>
        <v>9400</v>
      </c>
      <c r="Y47" s="17"/>
      <c r="Z47" s="17">
        <f>ROUND(10800*0.9,-2)</f>
        <v>9700</v>
      </c>
      <c r="AA47" s="17"/>
    </row>
    <row r="48" spans="1:27" ht="22.5" customHeight="1">
      <c r="A48" s="2" t="s">
        <v>79</v>
      </c>
      <c r="B48" s="7" t="s">
        <v>80</v>
      </c>
      <c r="C48" s="7"/>
      <c r="D48" s="17">
        <f>ROUND(2900*0.9,-2)</f>
        <v>2600</v>
      </c>
      <c r="E48" s="17"/>
      <c r="F48" s="17"/>
      <c r="G48" s="17"/>
      <c r="H48" s="17">
        <f>ROUND(3400*0.9,-2)</f>
        <v>3100</v>
      </c>
      <c r="I48" s="17">
        <v>2799</v>
      </c>
      <c r="J48" s="17"/>
      <c r="K48" s="17"/>
      <c r="L48" s="17">
        <f>ROUND(3750*0.9,-2)</f>
        <v>3400</v>
      </c>
      <c r="M48" s="17">
        <v>3100</v>
      </c>
      <c r="N48" s="17"/>
      <c r="O48" s="17"/>
      <c r="P48" s="17"/>
      <c r="Q48" s="17"/>
      <c r="R48" s="17"/>
      <c r="S48" s="17"/>
      <c r="T48" s="17">
        <f>ROUND(4400*0.9,-2)</f>
        <v>4000</v>
      </c>
      <c r="U48" s="17"/>
      <c r="V48" s="17"/>
      <c r="W48" s="17"/>
      <c r="X48" s="17">
        <f>ROUND(4900*0.9,-2)</f>
        <v>4400</v>
      </c>
      <c r="Y48" s="17"/>
      <c r="Z48" s="17"/>
      <c r="AA48" s="17"/>
    </row>
    <row r="49" spans="1:27" ht="22.5" customHeight="1">
      <c r="A49" s="2" t="s">
        <v>81</v>
      </c>
      <c r="B49" s="7" t="s">
        <v>82</v>
      </c>
      <c r="C49" s="7"/>
      <c r="D49" s="17">
        <f>ROUND(6400*0.9,-2)</f>
        <v>5800</v>
      </c>
      <c r="E49" s="17"/>
      <c r="F49" s="17">
        <f>ROUND(6800*0.9,-2)</f>
        <v>6100</v>
      </c>
      <c r="G49" s="17"/>
      <c r="H49" s="17">
        <f>ROUND(7400*0.9,-2)</f>
        <v>6700</v>
      </c>
      <c r="I49" s="17"/>
      <c r="J49" s="17">
        <f>ROUND(7950*0.9,-2)</f>
        <v>7200</v>
      </c>
      <c r="K49" s="17"/>
      <c r="L49" s="17">
        <f>ROUND(7700*0.9,-2)</f>
        <v>6900</v>
      </c>
      <c r="M49" s="17"/>
      <c r="N49" s="17">
        <f>ROUND(8300*0.9,-2)</f>
        <v>7500</v>
      </c>
      <c r="O49" s="17"/>
      <c r="P49" s="17">
        <f>ROUND(8900*0.9,-2)</f>
        <v>8000</v>
      </c>
      <c r="Q49" s="17"/>
      <c r="R49" s="17">
        <f>ROUND(9950*0.9,-2)</f>
        <v>9000</v>
      </c>
      <c r="S49" s="17"/>
      <c r="T49" s="17">
        <f>ROUND(9150*0.9,-2)</f>
        <v>8200</v>
      </c>
      <c r="U49" s="17"/>
      <c r="V49" s="17">
        <f>ROUND(9950*0.9,-2)</f>
        <v>9000</v>
      </c>
      <c r="W49" s="17"/>
      <c r="X49" s="17">
        <f>ROUND(10400*0.9,-2)</f>
        <v>9400</v>
      </c>
      <c r="Y49" s="17"/>
      <c r="Z49" s="17">
        <f>ROUND(10800*0.9,-2)</f>
        <v>9700</v>
      </c>
      <c r="AA49" s="17"/>
    </row>
    <row r="50" spans="1:27" ht="22.5" customHeight="1">
      <c r="A50" s="2" t="s">
        <v>83</v>
      </c>
      <c r="B50" s="7" t="s">
        <v>84</v>
      </c>
      <c r="C50" s="7"/>
      <c r="D50" s="17">
        <f>ROUND(8300*0.9,-2)</f>
        <v>7500</v>
      </c>
      <c r="E50" s="17"/>
      <c r="F50" s="17">
        <f>ROUND(8850*0.9,-2)</f>
        <v>8000</v>
      </c>
      <c r="G50" s="17"/>
      <c r="H50" s="17">
        <f>ROUND(9600*0.9,-2)</f>
        <v>8600</v>
      </c>
      <c r="I50" s="17"/>
      <c r="J50" s="17">
        <f>ROUND(10350*0.9,-2)</f>
        <v>9300</v>
      </c>
      <c r="K50" s="17"/>
      <c r="L50" s="17">
        <f>ROUND(10050*0.9,-2)</f>
        <v>9000</v>
      </c>
      <c r="M50" s="17"/>
      <c r="N50" s="17">
        <f>ROUND(10800*0.9,-2)</f>
        <v>9700</v>
      </c>
      <c r="O50" s="17"/>
      <c r="P50" s="17">
        <f>ROUND(11550*0.9,-2)</f>
        <v>10400</v>
      </c>
      <c r="Q50" s="17"/>
      <c r="R50" s="17">
        <f>ROUND(12950*0.9,-2)</f>
        <v>11700</v>
      </c>
      <c r="S50" s="17"/>
      <c r="T50" s="17">
        <f>ROUND(11850*0.9,-2)</f>
        <v>10700</v>
      </c>
      <c r="U50" s="17"/>
      <c r="V50" s="17">
        <f>ROUND(12950*0.9,-2)</f>
        <v>11700</v>
      </c>
      <c r="W50" s="17"/>
      <c r="X50" s="17">
        <f>ROUND(13500*0.9,-2)</f>
        <v>12200</v>
      </c>
      <c r="Y50" s="17"/>
      <c r="Z50" s="17">
        <f>ROUND(14050*0.9,-2)</f>
        <v>12600</v>
      </c>
      <c r="AA50" s="17"/>
    </row>
    <row r="51" spans="1:27" ht="22.5" customHeight="1">
      <c r="A51" s="2" t="s">
        <v>85</v>
      </c>
      <c r="B51" s="7" t="s">
        <v>86</v>
      </c>
      <c r="C51" s="7"/>
      <c r="D51" s="17">
        <f>ROUND(8300*0.9,-2)</f>
        <v>7500</v>
      </c>
      <c r="E51" s="17"/>
      <c r="F51" s="17">
        <f>ROUND(8850*0.9,-2)</f>
        <v>8000</v>
      </c>
      <c r="G51" s="17"/>
      <c r="H51" s="17">
        <f>ROUND(9600*0.9,-2)</f>
        <v>8600</v>
      </c>
      <c r="I51" s="17"/>
      <c r="J51" s="17">
        <f>ROUND(10350*0.9,-2)</f>
        <v>9300</v>
      </c>
      <c r="K51" s="17"/>
      <c r="L51" s="17">
        <f>ROUND(10050*0.9,-2)</f>
        <v>9000</v>
      </c>
      <c r="M51" s="17"/>
      <c r="N51" s="17">
        <f>ROUND(10800*0.9,-2)</f>
        <v>9700</v>
      </c>
      <c r="O51" s="17"/>
      <c r="P51" s="17">
        <f>ROUND(11550*0.9,-2)</f>
        <v>10400</v>
      </c>
      <c r="Q51" s="17"/>
      <c r="R51" s="17">
        <f>ROUND(12950*0.9,-2)</f>
        <v>11700</v>
      </c>
      <c r="S51" s="17"/>
      <c r="T51" s="17">
        <f>ROUND(11850*0.9,-2)</f>
        <v>10700</v>
      </c>
      <c r="U51" s="17"/>
      <c r="V51" s="17">
        <f>ROUND(12950*0.9,-2)</f>
        <v>11700</v>
      </c>
      <c r="W51" s="17"/>
      <c r="X51" s="17">
        <f>ROUND(13500*0.9,-2)</f>
        <v>12200</v>
      </c>
      <c r="Y51" s="17"/>
      <c r="Z51" s="17">
        <f>ROUND(14050*0.9,-2)</f>
        <v>12600</v>
      </c>
      <c r="AA51" s="17"/>
    </row>
    <row r="52" spans="1:27" ht="22.5" customHeight="1">
      <c r="A52" s="2" t="s">
        <v>87</v>
      </c>
      <c r="B52" s="7" t="s">
        <v>88</v>
      </c>
      <c r="C52" s="7"/>
      <c r="D52" s="17">
        <f>ROUND(4100*0.9,-2)</f>
        <v>3700</v>
      </c>
      <c r="E52" s="17"/>
      <c r="F52" s="17"/>
      <c r="G52" s="17"/>
      <c r="H52" s="17">
        <f>ROUND(4800*0.9,-2)</f>
        <v>4300</v>
      </c>
      <c r="I52" s="17"/>
      <c r="J52" s="17"/>
      <c r="K52" s="17"/>
      <c r="L52" s="32">
        <f>ROUND(5350*0.9,-2)</f>
        <v>4800</v>
      </c>
      <c r="M52" s="33"/>
      <c r="N52" s="33"/>
      <c r="O52" s="33"/>
      <c r="P52" s="33"/>
      <c r="Q52" s="33"/>
      <c r="R52" s="33"/>
      <c r="S52" s="34"/>
      <c r="T52" s="17">
        <f>ROUND(6300*0.9,-2)</f>
        <v>5700</v>
      </c>
      <c r="U52" s="17"/>
      <c r="V52" s="17"/>
      <c r="W52" s="17"/>
      <c r="X52" s="17">
        <f>ROUND(7000*0.9,-2)</f>
        <v>6300</v>
      </c>
      <c r="Y52" s="17"/>
      <c r="Z52" s="17"/>
      <c r="AA52" s="17"/>
    </row>
    <row r="53" spans="1:27" ht="25.5" customHeight="1">
      <c r="A53" s="2" t="s">
        <v>89</v>
      </c>
      <c r="B53" s="7" t="s">
        <v>90</v>
      </c>
      <c r="C53" s="7"/>
      <c r="D53" s="17">
        <f>ROUND(4100*0.9,-2)</f>
        <v>3700</v>
      </c>
      <c r="E53" s="17"/>
      <c r="F53" s="17"/>
      <c r="G53" s="17"/>
      <c r="H53" s="17">
        <f>ROUND(4800*0.9,-2)</f>
        <v>4300</v>
      </c>
      <c r="I53" s="17"/>
      <c r="J53" s="17"/>
      <c r="K53" s="17"/>
      <c r="L53" s="32">
        <f>ROUND(5350*0.9,-2)</f>
        <v>4800</v>
      </c>
      <c r="M53" s="33"/>
      <c r="N53" s="33"/>
      <c r="O53" s="33"/>
      <c r="P53" s="33"/>
      <c r="Q53" s="33"/>
      <c r="R53" s="33"/>
      <c r="S53" s="34"/>
      <c r="T53" s="17">
        <f>ROUND(6300*0.9,-2)</f>
        <v>5700</v>
      </c>
      <c r="U53" s="17"/>
      <c r="V53" s="17"/>
      <c r="W53" s="17"/>
      <c r="X53" s="17">
        <f>ROUND(7000*0.9,-2)</f>
        <v>6300</v>
      </c>
      <c r="Y53" s="17"/>
      <c r="Z53" s="17"/>
      <c r="AA53" s="17"/>
    </row>
    <row r="54" spans="1:27" ht="22.5" customHeight="1">
      <c r="A54" s="2" t="s">
        <v>91</v>
      </c>
      <c r="B54" s="7" t="s">
        <v>92</v>
      </c>
      <c r="C54" s="7"/>
      <c r="D54" s="17">
        <f>ROUND(29900*0.9,-2)</f>
        <v>26900</v>
      </c>
      <c r="E54" s="17"/>
      <c r="F54" s="17">
        <f>ROUND(31700*0.9,-2)</f>
        <v>28500</v>
      </c>
      <c r="G54" s="17"/>
      <c r="H54" s="17">
        <f>ROUND(32800*0.9,-2)</f>
        <v>29500</v>
      </c>
      <c r="I54" s="17"/>
      <c r="J54" s="17">
        <f>ROUND(34200*0.9,-2)</f>
        <v>30800</v>
      </c>
      <c r="K54" s="17"/>
      <c r="L54" s="17">
        <f>ROUND(33800*0.9,-2)</f>
        <v>30400</v>
      </c>
      <c r="M54" s="17"/>
      <c r="N54" s="17">
        <f>ROUND(35600*0.9,-2)</f>
        <v>32000</v>
      </c>
      <c r="O54" s="17"/>
      <c r="P54" s="17">
        <f>ROUND(37400*0.9,-2)</f>
        <v>33700</v>
      </c>
      <c r="Q54" s="17"/>
      <c r="R54" s="17">
        <f>ROUND(39200*0.9,-2)</f>
        <v>35300</v>
      </c>
      <c r="S54" s="17"/>
      <c r="T54" s="17">
        <f>ROUND(38400*0.9,-2)</f>
        <v>34600</v>
      </c>
      <c r="U54" s="17"/>
      <c r="V54" s="17">
        <f>ROUND(40600*0.9,-2)</f>
        <v>36500</v>
      </c>
      <c r="W54" s="17"/>
      <c r="X54" s="17">
        <f>ROUND(41300*0.9,-2)</f>
        <v>37200</v>
      </c>
      <c r="Y54" s="17"/>
      <c r="Z54" s="17">
        <f>ROUND(44100*0.9,-2)</f>
        <v>39700</v>
      </c>
      <c r="AA54" s="17"/>
    </row>
    <row r="55" spans="1:27" ht="24.75" customHeight="1">
      <c r="A55" s="2" t="s">
        <v>93</v>
      </c>
      <c r="B55" s="7" t="s">
        <v>94</v>
      </c>
      <c r="C55" s="7"/>
      <c r="D55" s="17">
        <f>ROUND(8650*0.9,-2)</f>
        <v>7800</v>
      </c>
      <c r="E55" s="17"/>
      <c r="F55" s="17">
        <f>ROUND(9150*0.9,-2)</f>
        <v>8200</v>
      </c>
      <c r="G55" s="17"/>
      <c r="H55" s="17">
        <f>ROUND(10400*0.9,-2)</f>
        <v>9400</v>
      </c>
      <c r="I55" s="17"/>
      <c r="J55" s="17"/>
      <c r="K55" s="17"/>
      <c r="L55" s="17">
        <f>ROUND(10400*0.9,-2)</f>
        <v>9400</v>
      </c>
      <c r="M55" s="17"/>
      <c r="N55" s="17"/>
      <c r="O55" s="17"/>
      <c r="P55" s="17">
        <f>ROUND(11750*0.9,-2)</f>
        <v>10600</v>
      </c>
      <c r="Q55" s="17"/>
      <c r="R55" s="17"/>
      <c r="S55" s="17"/>
      <c r="T55" s="17">
        <f>ROUND(11750*0.9,-2)</f>
        <v>10600</v>
      </c>
      <c r="U55" s="17"/>
      <c r="V55" s="17">
        <f>ROUND(13750*0.9,-2)</f>
        <v>12400</v>
      </c>
      <c r="W55" s="17"/>
      <c r="X55" s="17">
        <f>ROUND(12700*0.9,-2)</f>
        <v>11400</v>
      </c>
      <c r="Y55" s="17"/>
      <c r="Z55" s="17">
        <f>ROUND(14900*0.9,-2)</f>
        <v>13400</v>
      </c>
      <c r="AA55" s="17"/>
    </row>
    <row r="56" spans="1:27" ht="22.5" customHeight="1">
      <c r="A56" s="3" t="s">
        <v>95</v>
      </c>
      <c r="B56" s="7" t="s">
        <v>96</v>
      </c>
      <c r="C56" s="7"/>
      <c r="D56" s="20">
        <f>ROUND(2000*0.9,-2)</f>
        <v>1800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22.5" customHeight="1">
      <c r="A57" s="3" t="s">
        <v>97</v>
      </c>
      <c r="B57" s="7" t="s">
        <v>98</v>
      </c>
      <c r="C57" s="7"/>
      <c r="D57" s="17">
        <f>ROUND(1150*0.9,-2)</f>
        <v>1000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22.5" customHeight="1">
      <c r="A58" s="2" t="s">
        <v>107</v>
      </c>
      <c r="B58" s="7" t="s">
        <v>99</v>
      </c>
      <c r="C58" s="7"/>
      <c r="D58" s="20">
        <f>ROUND(1600*0.9,-2)</f>
        <v>1400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:27" ht="22.5" customHeight="1">
      <c r="A59" s="2" t="s">
        <v>108</v>
      </c>
      <c r="B59" s="7" t="s">
        <v>109</v>
      </c>
      <c r="C59" s="7"/>
      <c r="D59" s="17">
        <f>ROUND(750*0.9,-2)</f>
        <v>700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</sheetData>
  <sheetProtection password="CC53" sheet="1"/>
  <mergeCells count="536">
    <mergeCell ref="Y43:AA43"/>
    <mergeCell ref="G41:I41"/>
    <mergeCell ref="G40:I40"/>
    <mergeCell ref="G39:I39"/>
    <mergeCell ref="G38:I38"/>
    <mergeCell ref="P42:R42"/>
    <mergeCell ref="P43:R43"/>
    <mergeCell ref="S42:U42"/>
    <mergeCell ref="S43:U43"/>
    <mergeCell ref="D38:F38"/>
    <mergeCell ref="D39:F39"/>
    <mergeCell ref="S40:U40"/>
    <mergeCell ref="S41:U41"/>
    <mergeCell ref="A38:C38"/>
    <mergeCell ref="B39:C39"/>
    <mergeCell ref="B40:C40"/>
    <mergeCell ref="B41:C41"/>
    <mergeCell ref="P38:R38"/>
    <mergeCell ref="P39:R39"/>
    <mergeCell ref="V38:X38"/>
    <mergeCell ref="V39:X39"/>
    <mergeCell ref="V40:X40"/>
    <mergeCell ref="V41:X41"/>
    <mergeCell ref="J37:L37"/>
    <mergeCell ref="J38:L38"/>
    <mergeCell ref="J39:L39"/>
    <mergeCell ref="J40:L40"/>
    <mergeCell ref="S38:U38"/>
    <mergeCell ref="S39:U39"/>
    <mergeCell ref="Y39:AA39"/>
    <mergeCell ref="Y40:AA40"/>
    <mergeCell ref="Y41:AA41"/>
    <mergeCell ref="J42:L42"/>
    <mergeCell ref="M40:O40"/>
    <mergeCell ref="M41:O41"/>
    <mergeCell ref="V42:X42"/>
    <mergeCell ref="P40:R40"/>
    <mergeCell ref="P41:R41"/>
    <mergeCell ref="Y42:AA42"/>
    <mergeCell ref="B59:C59"/>
    <mergeCell ref="D59:AA59"/>
    <mergeCell ref="D42:F42"/>
    <mergeCell ref="D43:F43"/>
    <mergeCell ref="G42:I42"/>
    <mergeCell ref="G43:I43"/>
    <mergeCell ref="J43:L43"/>
    <mergeCell ref="M42:O42"/>
    <mergeCell ref="B42:C42"/>
    <mergeCell ref="V43:X43"/>
    <mergeCell ref="Z55:AA55"/>
    <mergeCell ref="B56:C56"/>
    <mergeCell ref="D56:AA56"/>
    <mergeCell ref="B57:C57"/>
    <mergeCell ref="D57:AA57"/>
    <mergeCell ref="B58:C58"/>
    <mergeCell ref="D58:AA58"/>
    <mergeCell ref="Z54:AA54"/>
    <mergeCell ref="B55:C55"/>
    <mergeCell ref="D55:E55"/>
    <mergeCell ref="F55:G55"/>
    <mergeCell ref="H55:K55"/>
    <mergeCell ref="L55:O55"/>
    <mergeCell ref="P55:S55"/>
    <mergeCell ref="T55:U55"/>
    <mergeCell ref="V55:W55"/>
    <mergeCell ref="X55:Y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B53:C53"/>
    <mergeCell ref="D53:G53"/>
    <mergeCell ref="H53:K53"/>
    <mergeCell ref="L53:S53"/>
    <mergeCell ref="T53:W53"/>
    <mergeCell ref="X53:AA53"/>
    <mergeCell ref="Z51:AA51"/>
    <mergeCell ref="T51:U51"/>
    <mergeCell ref="V51:W51"/>
    <mergeCell ref="X51:Y51"/>
    <mergeCell ref="B52:C52"/>
    <mergeCell ref="D52:G52"/>
    <mergeCell ref="H52:K52"/>
    <mergeCell ref="L52:S52"/>
    <mergeCell ref="T52:W52"/>
    <mergeCell ref="X52:AA52"/>
    <mergeCell ref="Z50:A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P49:Q49"/>
    <mergeCell ref="R49:S49"/>
    <mergeCell ref="T49:U49"/>
    <mergeCell ref="V49:W49"/>
    <mergeCell ref="X49:Y49"/>
    <mergeCell ref="Z49:AA49"/>
    <mergeCell ref="N47:O47"/>
    <mergeCell ref="P47:Q47"/>
    <mergeCell ref="R47:S47"/>
    <mergeCell ref="B49:C49"/>
    <mergeCell ref="D49:E49"/>
    <mergeCell ref="F49:G49"/>
    <mergeCell ref="H49:I49"/>
    <mergeCell ref="J49:K49"/>
    <mergeCell ref="L49:M49"/>
    <mergeCell ref="N49:O49"/>
    <mergeCell ref="B48:C48"/>
    <mergeCell ref="D48:G48"/>
    <mergeCell ref="H48:K48"/>
    <mergeCell ref="L48:S48"/>
    <mergeCell ref="T48:W48"/>
    <mergeCell ref="X48:AA48"/>
    <mergeCell ref="V47:W47"/>
    <mergeCell ref="X47:Y47"/>
    <mergeCell ref="T46:U46"/>
    <mergeCell ref="V46:W46"/>
    <mergeCell ref="X46:Y46"/>
    <mergeCell ref="Z47:AA47"/>
    <mergeCell ref="P46:Q46"/>
    <mergeCell ref="R46:S46"/>
    <mergeCell ref="Z46:AA46"/>
    <mergeCell ref="B47:C47"/>
    <mergeCell ref="D47:E47"/>
    <mergeCell ref="F47:G47"/>
    <mergeCell ref="H47:I47"/>
    <mergeCell ref="J47:K47"/>
    <mergeCell ref="L47:M47"/>
    <mergeCell ref="T47:U47"/>
    <mergeCell ref="D46:E46"/>
    <mergeCell ref="F46:G46"/>
    <mergeCell ref="H46:I46"/>
    <mergeCell ref="J46:K46"/>
    <mergeCell ref="L46:M46"/>
    <mergeCell ref="N46:O46"/>
    <mergeCell ref="P45:Q45"/>
    <mergeCell ref="R45:S45"/>
    <mergeCell ref="T45:U45"/>
    <mergeCell ref="V45:W45"/>
    <mergeCell ref="X45:Y45"/>
    <mergeCell ref="Z45:AA45"/>
    <mergeCell ref="B43:C43"/>
    <mergeCell ref="A44:AA44"/>
    <mergeCell ref="A45:C46"/>
    <mergeCell ref="D45:E45"/>
    <mergeCell ref="F45:G45"/>
    <mergeCell ref="H45:I45"/>
    <mergeCell ref="J45:K45"/>
    <mergeCell ref="M43:O43"/>
    <mergeCell ref="L45:M45"/>
    <mergeCell ref="N45:O45"/>
    <mergeCell ref="D40:F40"/>
    <mergeCell ref="D41:F41"/>
    <mergeCell ref="A36:AA36"/>
    <mergeCell ref="A37:C37"/>
    <mergeCell ref="J41:L41"/>
    <mergeCell ref="M37:O37"/>
    <mergeCell ref="M38:O38"/>
    <mergeCell ref="M39:O39"/>
    <mergeCell ref="Y37:AA37"/>
    <mergeCell ref="Y38:AA38"/>
    <mergeCell ref="T35:U35"/>
    <mergeCell ref="V35:W35"/>
    <mergeCell ref="X35:Y35"/>
    <mergeCell ref="Z35:AA35"/>
    <mergeCell ref="G37:I37"/>
    <mergeCell ref="D37:F37"/>
    <mergeCell ref="V37:X37"/>
    <mergeCell ref="P37:R37"/>
    <mergeCell ref="S37:U37"/>
    <mergeCell ref="Z34:A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N34:O34"/>
    <mergeCell ref="P34:Q34"/>
    <mergeCell ref="R34:S34"/>
    <mergeCell ref="T34:U34"/>
    <mergeCell ref="V34:W34"/>
    <mergeCell ref="X34:Y34"/>
    <mergeCell ref="V32:W32"/>
    <mergeCell ref="X32:Y32"/>
    <mergeCell ref="Z32:AA32"/>
    <mergeCell ref="A33:AA33"/>
    <mergeCell ref="A34:C34"/>
    <mergeCell ref="D34:E34"/>
    <mergeCell ref="F34:G34"/>
    <mergeCell ref="H34:I34"/>
    <mergeCell ref="J34:K34"/>
    <mergeCell ref="L34:M34"/>
    <mergeCell ref="Z31:AA31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N31:O31"/>
    <mergeCell ref="P31:Q31"/>
    <mergeCell ref="R31:S31"/>
    <mergeCell ref="T31:U31"/>
    <mergeCell ref="V31:W31"/>
    <mergeCell ref="X31:Y31"/>
    <mergeCell ref="B31:C32"/>
    <mergeCell ref="D31:E31"/>
    <mergeCell ref="F31:G31"/>
    <mergeCell ref="H31:I31"/>
    <mergeCell ref="J31:K31"/>
    <mergeCell ref="L31:M31"/>
    <mergeCell ref="P30:Q30"/>
    <mergeCell ref="R30:S30"/>
    <mergeCell ref="T30:U30"/>
    <mergeCell ref="V30:W30"/>
    <mergeCell ref="X30:Y30"/>
    <mergeCell ref="Z30:AA30"/>
    <mergeCell ref="X28:Y28"/>
    <mergeCell ref="Z28:AA28"/>
    <mergeCell ref="A29:AA29"/>
    <mergeCell ref="A30:C30"/>
    <mergeCell ref="D30:E30"/>
    <mergeCell ref="F30:G30"/>
    <mergeCell ref="H30:I30"/>
    <mergeCell ref="J30:K30"/>
    <mergeCell ref="L30:M30"/>
    <mergeCell ref="N30:O30"/>
    <mergeCell ref="L28:M28"/>
    <mergeCell ref="N28:O28"/>
    <mergeCell ref="P28:Q28"/>
    <mergeCell ref="R28:S28"/>
    <mergeCell ref="T28:U28"/>
    <mergeCell ref="V28:W28"/>
    <mergeCell ref="R27:S27"/>
    <mergeCell ref="T27:U27"/>
    <mergeCell ref="V27:W27"/>
    <mergeCell ref="X27:Y27"/>
    <mergeCell ref="Z27:AA27"/>
    <mergeCell ref="B28:C28"/>
    <mergeCell ref="D28:E28"/>
    <mergeCell ref="F28:G28"/>
    <mergeCell ref="H28:I28"/>
    <mergeCell ref="J28:K28"/>
    <mergeCell ref="X26:Y26"/>
    <mergeCell ref="Z26:AA26"/>
    <mergeCell ref="B27:C27"/>
    <mergeCell ref="D27:E27"/>
    <mergeCell ref="F27:G27"/>
    <mergeCell ref="H27:I27"/>
    <mergeCell ref="J27:K27"/>
    <mergeCell ref="L27:M27"/>
    <mergeCell ref="N27:O27"/>
    <mergeCell ref="P27:Q27"/>
    <mergeCell ref="L26:M26"/>
    <mergeCell ref="N26:O26"/>
    <mergeCell ref="P26:Q26"/>
    <mergeCell ref="R26:S26"/>
    <mergeCell ref="T26:U26"/>
    <mergeCell ref="V26:W26"/>
    <mergeCell ref="T24:U24"/>
    <mergeCell ref="V24:W24"/>
    <mergeCell ref="X24:Y24"/>
    <mergeCell ref="Z24:AA24"/>
    <mergeCell ref="A25:AA25"/>
    <mergeCell ref="A26:C26"/>
    <mergeCell ref="D26:E26"/>
    <mergeCell ref="F26:G26"/>
    <mergeCell ref="H26:I26"/>
    <mergeCell ref="J26:K26"/>
    <mergeCell ref="Z23:AA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N23:O23"/>
    <mergeCell ref="P23:Q23"/>
    <mergeCell ref="R23:S23"/>
    <mergeCell ref="T23:U23"/>
    <mergeCell ref="V23:W23"/>
    <mergeCell ref="X23:Y23"/>
    <mergeCell ref="T21:U21"/>
    <mergeCell ref="V21:W21"/>
    <mergeCell ref="X21:Y21"/>
    <mergeCell ref="Z21:AA21"/>
    <mergeCell ref="B23:C23"/>
    <mergeCell ref="D23:E23"/>
    <mergeCell ref="F23:G23"/>
    <mergeCell ref="H23:I23"/>
    <mergeCell ref="J23:K23"/>
    <mergeCell ref="L23:M23"/>
    <mergeCell ref="Z20:AA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N20:O20"/>
    <mergeCell ref="P20:Q20"/>
    <mergeCell ref="R20:S20"/>
    <mergeCell ref="T20:U20"/>
    <mergeCell ref="V20:W20"/>
    <mergeCell ref="X20:Y20"/>
    <mergeCell ref="T19:U19"/>
    <mergeCell ref="V19:W19"/>
    <mergeCell ref="X19:Y19"/>
    <mergeCell ref="Z19:AA19"/>
    <mergeCell ref="B20:C20"/>
    <mergeCell ref="D20:E20"/>
    <mergeCell ref="F20:G20"/>
    <mergeCell ref="H20:I20"/>
    <mergeCell ref="J20:K20"/>
    <mergeCell ref="L20:M20"/>
    <mergeCell ref="Z18:AA18"/>
    <mergeCell ref="A19:C19"/>
    <mergeCell ref="D19:E19"/>
    <mergeCell ref="F19:G19"/>
    <mergeCell ref="H19:I19"/>
    <mergeCell ref="J19:K19"/>
    <mergeCell ref="L19:M19"/>
    <mergeCell ref="N19:O19"/>
    <mergeCell ref="P19:Q19"/>
    <mergeCell ref="R19:S19"/>
    <mergeCell ref="N18:O18"/>
    <mergeCell ref="P18:Q18"/>
    <mergeCell ref="R18:S18"/>
    <mergeCell ref="T18:U18"/>
    <mergeCell ref="V18:W18"/>
    <mergeCell ref="X18:Y18"/>
    <mergeCell ref="V16:W16"/>
    <mergeCell ref="X16:Y16"/>
    <mergeCell ref="Z16:AA16"/>
    <mergeCell ref="A17:AA17"/>
    <mergeCell ref="A18:C18"/>
    <mergeCell ref="D18:E18"/>
    <mergeCell ref="F18:G18"/>
    <mergeCell ref="H18:I18"/>
    <mergeCell ref="J18:K18"/>
    <mergeCell ref="L18:M18"/>
    <mergeCell ref="Z15:AA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N15:O15"/>
    <mergeCell ref="P15:Q15"/>
    <mergeCell ref="R15:S15"/>
    <mergeCell ref="T15:U15"/>
    <mergeCell ref="V15:W15"/>
    <mergeCell ref="X15:Y15"/>
    <mergeCell ref="B15:C16"/>
    <mergeCell ref="D15:E15"/>
    <mergeCell ref="F15:G15"/>
    <mergeCell ref="H15:I15"/>
    <mergeCell ref="J15:K15"/>
    <mergeCell ref="L15:M15"/>
    <mergeCell ref="P14:Q14"/>
    <mergeCell ref="R14:S14"/>
    <mergeCell ref="T14:U14"/>
    <mergeCell ref="V14:W14"/>
    <mergeCell ref="X14:Y14"/>
    <mergeCell ref="Z14:AA14"/>
    <mergeCell ref="X12:Y12"/>
    <mergeCell ref="Z12:AA12"/>
    <mergeCell ref="A13:AA13"/>
    <mergeCell ref="A14:C14"/>
    <mergeCell ref="D14:E14"/>
    <mergeCell ref="F14:G14"/>
    <mergeCell ref="H14:I14"/>
    <mergeCell ref="J14:K14"/>
    <mergeCell ref="L14:M14"/>
    <mergeCell ref="N14:O14"/>
    <mergeCell ref="L12:M12"/>
    <mergeCell ref="N12:O12"/>
    <mergeCell ref="P12:Q12"/>
    <mergeCell ref="R12:S12"/>
    <mergeCell ref="T12:U12"/>
    <mergeCell ref="V12:W12"/>
    <mergeCell ref="R11:S11"/>
    <mergeCell ref="T11:U11"/>
    <mergeCell ref="V11:W11"/>
    <mergeCell ref="X11:Y11"/>
    <mergeCell ref="Z11:AA11"/>
    <mergeCell ref="B12:C12"/>
    <mergeCell ref="D12:E12"/>
    <mergeCell ref="F12:G12"/>
    <mergeCell ref="H12:I12"/>
    <mergeCell ref="J12:K12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L10:M10"/>
    <mergeCell ref="N10:O10"/>
    <mergeCell ref="P10:Q10"/>
    <mergeCell ref="R10:S10"/>
    <mergeCell ref="T10:U10"/>
    <mergeCell ref="V10:W10"/>
    <mergeCell ref="T22:U22"/>
    <mergeCell ref="V22:W22"/>
    <mergeCell ref="X22:Y22"/>
    <mergeCell ref="Z22:AA22"/>
    <mergeCell ref="A9:AA9"/>
    <mergeCell ref="A10:C10"/>
    <mergeCell ref="D10:E10"/>
    <mergeCell ref="F10:G10"/>
    <mergeCell ref="H10:I10"/>
    <mergeCell ref="J10:K10"/>
    <mergeCell ref="Z7:AA7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N7:O7"/>
    <mergeCell ref="P7:Q7"/>
    <mergeCell ref="R7:S7"/>
    <mergeCell ref="T7:U7"/>
    <mergeCell ref="V7:W7"/>
    <mergeCell ref="X7:Y7"/>
    <mergeCell ref="T6:U6"/>
    <mergeCell ref="V6:W6"/>
    <mergeCell ref="X6:Y6"/>
    <mergeCell ref="Z6:AA6"/>
    <mergeCell ref="B7:C7"/>
    <mergeCell ref="D7:E7"/>
    <mergeCell ref="F7:G7"/>
    <mergeCell ref="H7:I7"/>
    <mergeCell ref="J7:K7"/>
    <mergeCell ref="L7:M7"/>
    <mergeCell ref="Z5:AA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N5:O5"/>
    <mergeCell ref="P5:Q5"/>
    <mergeCell ref="R5:S5"/>
    <mergeCell ref="T5:U5"/>
    <mergeCell ref="V5:W5"/>
    <mergeCell ref="X5:Y5"/>
    <mergeCell ref="A5:C5"/>
    <mergeCell ref="D5:E5"/>
    <mergeCell ref="F5:G5"/>
    <mergeCell ref="H5:I5"/>
    <mergeCell ref="J5:K5"/>
    <mergeCell ref="L5:M5"/>
    <mergeCell ref="P4:Q4"/>
    <mergeCell ref="R4:S4"/>
    <mergeCell ref="T4:U4"/>
    <mergeCell ref="V4:W4"/>
    <mergeCell ref="X4:Y4"/>
    <mergeCell ref="Z4:AA4"/>
    <mergeCell ref="A1:AA1"/>
    <mergeCell ref="A2:AA2"/>
    <mergeCell ref="A3:AA3"/>
    <mergeCell ref="A4:C4"/>
    <mergeCell ref="D4:E4"/>
    <mergeCell ref="F4:G4"/>
    <mergeCell ref="H4:I4"/>
    <mergeCell ref="J4:K4"/>
    <mergeCell ref="L4:M4"/>
    <mergeCell ref="N4:O4"/>
    <mergeCell ref="B8:C8"/>
    <mergeCell ref="D8:E8"/>
    <mergeCell ref="F8:G8"/>
    <mergeCell ref="H8:I8"/>
    <mergeCell ref="J8:K8"/>
    <mergeCell ref="L8:M8"/>
    <mergeCell ref="Z8:AA8"/>
    <mergeCell ref="N8:O8"/>
    <mergeCell ref="P8:Q8"/>
    <mergeCell ref="R8:S8"/>
    <mergeCell ref="T8:U8"/>
    <mergeCell ref="V8:W8"/>
    <mergeCell ref="X8:Y8"/>
  </mergeCells>
  <printOptions horizontalCentered="1"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2020-07-03T10:58:53Z</cp:lastPrinted>
  <dcterms:modified xsi:type="dcterms:W3CDTF">2020-07-03T10:59:10Z</dcterms:modified>
  <cp:category/>
  <cp:version/>
  <cp:contentType/>
  <cp:contentStatus/>
</cp:coreProperties>
</file>